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vitckm-my.sharepoint.com/personal/romanas_senapedis_lrkm_lt/Documents/Desktop/Work-2021/Paveldotvarka-2021/Programos keitimas-2021/"/>
    </mc:Choice>
  </mc:AlternateContent>
  <xr:revisionPtr revIDLastSave="1" documentId="8_{01B35439-7505-4CEA-8AFD-7140D5689E49}" xr6:coauthVersionLast="47" xr6:coauthVersionMax="47" xr10:uidLastSave="{F08A9AF8-FD73-4B29-8ED6-5F363597CC32}"/>
  <bookViews>
    <workbookView xWindow="-108" yWindow="-108" windowWidth="23256" windowHeight="12576" xr2:uid="{00000000-000D-0000-FFFF-FFFF00000000}"/>
  </bookViews>
  <sheets>
    <sheet name="Paveldotvarka 2021-2023" sheetId="1" r:id="rId1"/>
  </sheets>
  <definedNames>
    <definedName name="_xlnm.Print_Titles" localSheetId="0">'Paveldotvarka 2021-2023'!$4:$6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5" i="1" l="1"/>
  <c r="I85" i="1" s="1"/>
  <c r="M152" i="1"/>
  <c r="N152" i="1"/>
  <c r="N97" i="1"/>
  <c r="N95" i="1"/>
  <c r="J112" i="1"/>
  <c r="J97" i="1"/>
  <c r="J95" i="1"/>
  <c r="J82" i="1"/>
  <c r="J80" i="1"/>
  <c r="J70" i="1"/>
  <c r="J56" i="1"/>
  <c r="K56" i="1"/>
  <c r="K52" i="1"/>
  <c r="K26" i="1"/>
  <c r="N26" i="1"/>
  <c r="J38" i="1"/>
  <c r="J36" i="1"/>
  <c r="J35" i="1"/>
  <c r="J26" i="1"/>
  <c r="N23" i="1"/>
  <c r="J23" i="1"/>
  <c r="J22" i="1"/>
  <c r="N22" i="1"/>
  <c r="J21" i="1"/>
  <c r="J19" i="1"/>
  <c r="M11" i="1" l="1"/>
  <c r="N10" i="1"/>
  <c r="J10" i="1"/>
  <c r="K154" i="1" l="1"/>
  <c r="L154" i="1"/>
  <c r="M154" i="1"/>
  <c r="N154" i="1"/>
  <c r="O154" i="1"/>
  <c r="P154" i="1"/>
  <c r="Q154" i="1"/>
  <c r="R154" i="1"/>
  <c r="S154" i="1"/>
  <c r="T154" i="1"/>
  <c r="I154" i="1"/>
  <c r="J154" i="1"/>
  <c r="T150" i="1"/>
  <c r="S150" i="1"/>
  <c r="R150" i="1"/>
  <c r="Q150" i="1"/>
  <c r="P150" i="1"/>
  <c r="O150" i="1"/>
  <c r="N150" i="1"/>
  <c r="M150" i="1"/>
  <c r="L150" i="1"/>
  <c r="K150" i="1"/>
  <c r="J150" i="1"/>
  <c r="I149" i="1"/>
  <c r="I148" i="1"/>
  <c r="I150" i="1" l="1"/>
  <c r="Q115" i="1" l="1"/>
  <c r="Q114" i="1"/>
  <c r="Q112" i="1"/>
  <c r="Q86" i="1"/>
  <c r="Q85" i="1"/>
  <c r="J72" i="1"/>
  <c r="T144" i="1"/>
  <c r="S144" i="1"/>
  <c r="R144" i="1"/>
  <c r="Q144" i="1"/>
  <c r="P144" i="1"/>
  <c r="O144" i="1"/>
  <c r="N144" i="1"/>
  <c r="M144" i="1"/>
  <c r="T116" i="1"/>
  <c r="S116" i="1"/>
  <c r="R116" i="1"/>
  <c r="P116" i="1"/>
  <c r="O116" i="1"/>
  <c r="N116" i="1"/>
  <c r="L116" i="1"/>
  <c r="K116" i="1"/>
  <c r="J116" i="1"/>
  <c r="M115" i="1"/>
  <c r="I115" i="1"/>
  <c r="M114" i="1"/>
  <c r="I114" i="1"/>
  <c r="M113" i="1"/>
  <c r="I113" i="1"/>
  <c r="M112" i="1"/>
  <c r="I112" i="1"/>
  <c r="I111" i="1"/>
  <c r="T109" i="1"/>
  <c r="S109" i="1"/>
  <c r="R109" i="1"/>
  <c r="P109" i="1"/>
  <c r="O109" i="1"/>
  <c r="N109" i="1"/>
  <c r="L109" i="1"/>
  <c r="K109" i="1"/>
  <c r="J109" i="1"/>
  <c r="Q107" i="1"/>
  <c r="M107" i="1"/>
  <c r="I107" i="1"/>
  <c r="Q106" i="1"/>
  <c r="M106" i="1"/>
  <c r="I106" i="1"/>
  <c r="Q105" i="1"/>
  <c r="M105" i="1"/>
  <c r="I105" i="1"/>
  <c r="T103" i="1"/>
  <c r="S103" i="1"/>
  <c r="R103" i="1"/>
  <c r="P103" i="1"/>
  <c r="O103" i="1"/>
  <c r="N103" i="1"/>
  <c r="L103" i="1"/>
  <c r="K103" i="1"/>
  <c r="J103" i="1"/>
  <c r="Q102" i="1"/>
  <c r="M102" i="1"/>
  <c r="I102" i="1"/>
  <c r="Q101" i="1"/>
  <c r="M101" i="1"/>
  <c r="I101" i="1"/>
  <c r="Q100" i="1"/>
  <c r="M100" i="1"/>
  <c r="I100" i="1"/>
  <c r="T98" i="1"/>
  <c r="S98" i="1"/>
  <c r="P98" i="1"/>
  <c r="O98" i="1"/>
  <c r="N98" i="1"/>
  <c r="L98" i="1"/>
  <c r="K98" i="1"/>
  <c r="J98" i="1"/>
  <c r="Q97" i="1"/>
  <c r="M97" i="1"/>
  <c r="I97" i="1"/>
  <c r="Q96" i="1"/>
  <c r="M96" i="1"/>
  <c r="I96" i="1"/>
  <c r="R95" i="1"/>
  <c r="R98" i="1" s="1"/>
  <c r="M95" i="1"/>
  <c r="I95" i="1"/>
  <c r="T93" i="1"/>
  <c r="S93" i="1"/>
  <c r="R93" i="1"/>
  <c r="Q93" i="1"/>
  <c r="P93" i="1"/>
  <c r="O93" i="1"/>
  <c r="N93" i="1"/>
  <c r="L93" i="1"/>
  <c r="K93" i="1"/>
  <c r="J93" i="1"/>
  <c r="M92" i="1"/>
  <c r="I92" i="1"/>
  <c r="M91" i="1"/>
  <c r="I91" i="1"/>
  <c r="T89" i="1"/>
  <c r="S89" i="1"/>
  <c r="R89" i="1"/>
  <c r="P89" i="1"/>
  <c r="O89" i="1"/>
  <c r="N89" i="1"/>
  <c r="L89" i="1"/>
  <c r="K89" i="1"/>
  <c r="J89" i="1"/>
  <c r="M88" i="1"/>
  <c r="I88" i="1"/>
  <c r="M87" i="1"/>
  <c r="I87" i="1"/>
  <c r="M86" i="1"/>
  <c r="I86" i="1"/>
  <c r="M85" i="1"/>
  <c r="T83" i="1"/>
  <c r="S83" i="1"/>
  <c r="R83" i="1"/>
  <c r="P83" i="1"/>
  <c r="O83" i="1"/>
  <c r="N83" i="1"/>
  <c r="K83" i="1"/>
  <c r="J83" i="1"/>
  <c r="Q82" i="1"/>
  <c r="M82" i="1"/>
  <c r="I82" i="1"/>
  <c r="Q81" i="1"/>
  <c r="M81" i="1"/>
  <c r="L81" i="1"/>
  <c r="I81" i="1" s="1"/>
  <c r="Q80" i="1"/>
  <c r="M80" i="1"/>
  <c r="I80" i="1"/>
  <c r="A80" i="1"/>
  <c r="A81" i="1" s="1"/>
  <c r="A82" i="1" s="1"/>
  <c r="A85" i="1" s="1"/>
  <c r="A86" i="1" s="1"/>
  <c r="A87" i="1" s="1"/>
  <c r="A88" i="1" s="1"/>
  <c r="A91" i="1" s="1"/>
  <c r="A92" i="1" s="1"/>
  <c r="A95" i="1" s="1"/>
  <c r="A96" i="1" s="1"/>
  <c r="A97" i="1" s="1"/>
  <c r="A100" i="1" s="1"/>
  <c r="A101" i="1" s="1"/>
  <c r="A102" i="1" s="1"/>
  <c r="A105" i="1" s="1"/>
  <c r="A106" i="1" s="1"/>
  <c r="A107" i="1" s="1"/>
  <c r="A111" i="1" s="1"/>
  <c r="A112" i="1" s="1"/>
  <c r="A113" i="1" s="1"/>
  <c r="A114" i="1" s="1"/>
  <c r="A115" i="1" s="1"/>
  <c r="Q79" i="1"/>
  <c r="M79" i="1"/>
  <c r="T72" i="1"/>
  <c r="S72" i="1"/>
  <c r="P72" i="1"/>
  <c r="O72" i="1"/>
  <c r="N72" i="1"/>
  <c r="M72" i="1"/>
  <c r="L72" i="1"/>
  <c r="K72" i="1"/>
  <c r="I71" i="1"/>
  <c r="I70" i="1"/>
  <c r="I69" i="1"/>
  <c r="T65" i="1"/>
  <c r="S65" i="1"/>
  <c r="R65" i="1"/>
  <c r="Q65" i="1"/>
  <c r="P65" i="1"/>
  <c r="O65" i="1"/>
  <c r="N65" i="1"/>
  <c r="M65" i="1"/>
  <c r="L65" i="1"/>
  <c r="K65" i="1"/>
  <c r="J65" i="1"/>
  <c r="I64" i="1"/>
  <c r="I63" i="1"/>
  <c r="I62" i="1"/>
  <c r="T60" i="1"/>
  <c r="S60" i="1"/>
  <c r="R60" i="1"/>
  <c r="P60" i="1"/>
  <c r="O60" i="1"/>
  <c r="N60" i="1"/>
  <c r="L60" i="1"/>
  <c r="K60" i="1"/>
  <c r="J60" i="1"/>
  <c r="Q59" i="1"/>
  <c r="M59" i="1"/>
  <c r="I59" i="1"/>
  <c r="Q58" i="1"/>
  <c r="M58" i="1"/>
  <c r="I58" i="1"/>
  <c r="Q57" i="1"/>
  <c r="M57" i="1"/>
  <c r="I57" i="1"/>
  <c r="Q56" i="1"/>
  <c r="M56" i="1"/>
  <c r="I56" i="1"/>
  <c r="Q55" i="1"/>
  <c r="M55" i="1"/>
  <c r="I55" i="1"/>
  <c r="Q54" i="1"/>
  <c r="M54" i="1"/>
  <c r="I54" i="1"/>
  <c r="Q53" i="1"/>
  <c r="M53" i="1"/>
  <c r="I53" i="1"/>
  <c r="Q52" i="1"/>
  <c r="M52" i="1"/>
  <c r="I52" i="1"/>
  <c r="Q51" i="1"/>
  <c r="M51" i="1"/>
  <c r="I51" i="1"/>
  <c r="Q50" i="1"/>
  <c r="M50" i="1"/>
  <c r="I50" i="1"/>
  <c r="Q49" i="1"/>
  <c r="M49" i="1"/>
  <c r="I49" i="1"/>
  <c r="Q48" i="1"/>
  <c r="M48" i="1"/>
  <c r="I48" i="1"/>
  <c r="Q47" i="1"/>
  <c r="M47" i="1"/>
  <c r="I47" i="1"/>
  <c r="A47" i="1"/>
  <c r="A48" i="1" s="1"/>
  <c r="A49" i="1" s="1"/>
  <c r="A50" i="1" s="1"/>
  <c r="A51" i="1" s="1"/>
  <c r="A52" i="1" s="1"/>
  <c r="A53" i="1" s="1"/>
  <c r="A54" i="1" s="1"/>
  <c r="A55" i="1" s="1"/>
  <c r="A56" i="1" s="1"/>
  <c r="A57" i="1" s="1"/>
  <c r="A58" i="1" s="1"/>
  <c r="A59" i="1" s="1"/>
  <c r="Q46" i="1"/>
  <c r="M46" i="1"/>
  <c r="I46" i="1"/>
  <c r="Q45" i="1"/>
  <c r="M45" i="1"/>
  <c r="I45" i="1"/>
  <c r="T43" i="1"/>
  <c r="P43" i="1"/>
  <c r="L43" i="1"/>
  <c r="Q42" i="1"/>
  <c r="M42" i="1"/>
  <c r="I42" i="1"/>
  <c r="G42" i="1"/>
  <c r="F42" i="1"/>
  <c r="M41" i="1"/>
  <c r="J41" i="1"/>
  <c r="I41" i="1" s="1"/>
  <c r="G41" i="1"/>
  <c r="F41" i="1"/>
  <c r="Q40" i="1"/>
  <c r="M40" i="1"/>
  <c r="I40" i="1"/>
  <c r="F40" i="1"/>
  <c r="Q39" i="1"/>
  <c r="M39" i="1"/>
  <c r="I39" i="1"/>
  <c r="F39" i="1"/>
  <c r="Q38" i="1"/>
  <c r="M38" i="1"/>
  <c r="I38" i="1"/>
  <c r="F38" i="1"/>
  <c r="Q37" i="1"/>
  <c r="M37" i="1"/>
  <c r="J37" i="1"/>
  <c r="I37" i="1" s="1"/>
  <c r="G37" i="1"/>
  <c r="F37" i="1"/>
  <c r="Q36" i="1"/>
  <c r="M36" i="1"/>
  <c r="I36" i="1"/>
  <c r="Q35" i="1"/>
  <c r="M35" i="1"/>
  <c r="I35" i="1"/>
  <c r="Q34" i="1"/>
  <c r="M34" i="1"/>
  <c r="I34" i="1"/>
  <c r="Q33" i="1"/>
  <c r="M33" i="1"/>
  <c r="I33" i="1"/>
  <c r="F33" i="1"/>
  <c r="Q32" i="1"/>
  <c r="M32" i="1"/>
  <c r="I32" i="1"/>
  <c r="Q31" i="1"/>
  <c r="M31" i="1"/>
  <c r="I31" i="1"/>
  <c r="G31" i="1"/>
  <c r="F31" i="1"/>
  <c r="Q30" i="1"/>
  <c r="M30" i="1"/>
  <c r="I30" i="1"/>
  <c r="Q29" i="1"/>
  <c r="N29" i="1"/>
  <c r="M29" i="1" s="1"/>
  <c r="I29" i="1"/>
  <c r="F29" i="1"/>
  <c r="Q28" i="1"/>
  <c r="M28" i="1"/>
  <c r="I28" i="1"/>
  <c r="F28" i="1"/>
  <c r="Q27" i="1"/>
  <c r="M27" i="1"/>
  <c r="I27" i="1"/>
  <c r="R26" i="1"/>
  <c r="Q26" i="1" s="1"/>
  <c r="M26" i="1"/>
  <c r="I26" i="1"/>
  <c r="G26" i="1"/>
  <c r="F26" i="1"/>
  <c r="S25" i="1"/>
  <c r="Q25" i="1" s="1"/>
  <c r="O25" i="1"/>
  <c r="O43" i="1" s="1"/>
  <c r="K25" i="1"/>
  <c r="K43" i="1" s="1"/>
  <c r="Q24" i="1"/>
  <c r="M24" i="1"/>
  <c r="I24" i="1"/>
  <c r="Q23" i="1"/>
  <c r="M23" i="1"/>
  <c r="I23" i="1"/>
  <c r="G23" i="1"/>
  <c r="Q22" i="1"/>
  <c r="M22" i="1"/>
  <c r="I22" i="1"/>
  <c r="F22" i="1"/>
  <c r="Q21" i="1"/>
  <c r="M21" i="1"/>
  <c r="I21" i="1"/>
  <c r="F21" i="1"/>
  <c r="R20" i="1"/>
  <c r="Q20" i="1" s="1"/>
  <c r="N20" i="1"/>
  <c r="M20" i="1" s="1"/>
  <c r="I20" i="1"/>
  <c r="Q19" i="1"/>
  <c r="M19" i="1"/>
  <c r="I19" i="1"/>
  <c r="F19" i="1"/>
  <c r="Q18" i="1"/>
  <c r="M18" i="1"/>
  <c r="I18" i="1"/>
  <c r="G18" i="1"/>
  <c r="F18" i="1"/>
  <c r="Q17" i="1"/>
  <c r="M17" i="1"/>
  <c r="I17" i="1"/>
  <c r="F17" i="1"/>
  <c r="Q16" i="1"/>
  <c r="M16" i="1"/>
  <c r="I16" i="1"/>
  <c r="F16" i="1"/>
  <c r="Q15" i="1"/>
  <c r="M15" i="1"/>
  <c r="I15" i="1"/>
  <c r="G15" i="1"/>
  <c r="F15" i="1"/>
  <c r="Q14" i="1"/>
  <c r="M14" i="1"/>
  <c r="J14" i="1"/>
  <c r="I14" i="1" s="1"/>
  <c r="G14" i="1"/>
  <c r="F14" i="1"/>
  <c r="Q13" i="1"/>
  <c r="M13" i="1"/>
  <c r="I13" i="1"/>
  <c r="G13" i="1"/>
  <c r="F13" i="1"/>
  <c r="Q12" i="1"/>
  <c r="M12" i="1"/>
  <c r="J12" i="1"/>
  <c r="I12" i="1" s="1"/>
  <c r="G12" i="1"/>
  <c r="F12" i="1"/>
  <c r="Q11" i="1"/>
  <c r="I11" i="1"/>
  <c r="R10" i="1"/>
  <c r="Q10" i="1" s="1"/>
  <c r="M10" i="1"/>
  <c r="I10" i="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Q9" i="1"/>
  <c r="N9" i="1"/>
  <c r="M9" i="1" s="1"/>
  <c r="J9" i="1"/>
  <c r="I9" i="1" s="1"/>
  <c r="I72" i="1" l="1"/>
  <c r="M98" i="1"/>
  <c r="L66" i="1"/>
  <c r="L156" i="1" s="1"/>
  <c r="O66" i="1"/>
  <c r="O156" i="1" s="1"/>
  <c r="P66" i="1"/>
  <c r="P156" i="1" s="1"/>
  <c r="K66" i="1"/>
  <c r="K156" i="1" s="1"/>
  <c r="T66" i="1"/>
  <c r="T156" i="1" s="1"/>
  <c r="J117" i="1"/>
  <c r="Q89" i="1"/>
  <c r="Q116" i="1"/>
  <c r="T117" i="1"/>
  <c r="R117" i="1"/>
  <c r="K117" i="1"/>
  <c r="N117" i="1"/>
  <c r="I25" i="1"/>
  <c r="I43" i="1" s="1"/>
  <c r="P117" i="1"/>
  <c r="O117" i="1"/>
  <c r="S117" i="1"/>
  <c r="Q83" i="1"/>
  <c r="I93" i="1"/>
  <c r="Q103" i="1"/>
  <c r="I109" i="1"/>
  <c r="I60" i="1"/>
  <c r="N43" i="1"/>
  <c r="Q109" i="1"/>
  <c r="Q95" i="1"/>
  <c r="Q98" i="1" s="1"/>
  <c r="I103" i="1"/>
  <c r="M60" i="1"/>
  <c r="M93" i="1"/>
  <c r="M103" i="1"/>
  <c r="M89" i="1"/>
  <c r="Q43" i="1"/>
  <c r="R43" i="1"/>
  <c r="I65" i="1"/>
  <c r="M83" i="1"/>
  <c r="M116" i="1"/>
  <c r="M109" i="1"/>
  <c r="I116" i="1"/>
  <c r="Q60" i="1"/>
  <c r="I89" i="1"/>
  <c r="I98" i="1"/>
  <c r="I83" i="1"/>
  <c r="J43" i="1"/>
  <c r="M25" i="1"/>
  <c r="M43" i="1" s="1"/>
  <c r="S43" i="1"/>
  <c r="L83" i="1"/>
  <c r="N157" i="1" l="1"/>
  <c r="N145" i="1"/>
  <c r="N158" i="1" s="1"/>
  <c r="J157" i="1"/>
  <c r="J145" i="1"/>
  <c r="J158" i="1" s="1"/>
  <c r="K157" i="1"/>
  <c r="K159" i="1" s="1"/>
  <c r="K145" i="1"/>
  <c r="K158" i="1" s="1"/>
  <c r="R157" i="1"/>
  <c r="R145" i="1"/>
  <c r="R158" i="1" s="1"/>
  <c r="T157" i="1"/>
  <c r="T159" i="1" s="1"/>
  <c r="T145" i="1"/>
  <c r="T158" i="1" s="1"/>
  <c r="S157" i="1"/>
  <c r="S145" i="1"/>
  <c r="S158" i="1" s="1"/>
  <c r="P157" i="1"/>
  <c r="P159" i="1" s="1"/>
  <c r="P145" i="1"/>
  <c r="P158" i="1" s="1"/>
  <c r="O157" i="1"/>
  <c r="O159" i="1" s="1"/>
  <c r="O145" i="1"/>
  <c r="O158" i="1" s="1"/>
  <c r="M66" i="1"/>
  <c r="M156" i="1" s="1"/>
  <c r="Q66" i="1"/>
  <c r="Q156" i="1" s="1"/>
  <c r="N66" i="1"/>
  <c r="N156" i="1" s="1"/>
  <c r="S66" i="1"/>
  <c r="S156" i="1" s="1"/>
  <c r="J66" i="1"/>
  <c r="J156" i="1" s="1"/>
  <c r="I66" i="1"/>
  <c r="I156" i="1" s="1"/>
  <c r="R66" i="1"/>
  <c r="R156" i="1" s="1"/>
  <c r="R159" i="1" s="1"/>
  <c r="M117" i="1"/>
  <c r="I117" i="1"/>
  <c r="I145" i="1" s="1"/>
  <c r="L117" i="1"/>
  <c r="Q117" i="1"/>
  <c r="S159" i="1" l="1"/>
  <c r="N159" i="1"/>
  <c r="J159" i="1"/>
  <c r="I157" i="1"/>
  <c r="I159" i="1" s="1"/>
  <c r="L157" i="1"/>
  <c r="L159" i="1" s="1"/>
  <c r="L145" i="1"/>
  <c r="L158" i="1" s="1"/>
  <c r="M157" i="1"/>
  <c r="M159" i="1" s="1"/>
  <c r="M145" i="1"/>
  <c r="M158" i="1" s="1"/>
  <c r="Q157" i="1"/>
  <c r="Q159" i="1" s="1"/>
  <c r="Q145" i="1"/>
  <c r="Q158" i="1" s="1"/>
  <c r="I158" i="1"/>
</calcChain>
</file>

<file path=xl/sharedStrings.xml><?xml version="1.0" encoding="utf-8"?>
<sst xmlns="http://schemas.openxmlformats.org/spreadsheetml/2006/main" count="524" uniqueCount="394">
  <si>
    <t>Eil. Nr.</t>
  </si>
  <si>
    <t>Kultūros paveldo objekto pavadinimas, adresas</t>
  </si>
  <si>
    <t>Unikalus kodas Kultūros vertybių registre, statusas</t>
  </si>
  <si>
    <t>Kultūros paveldo objekto valdytojas</t>
  </si>
  <si>
    <t>Atliktų tvarkybos darbų pavadinimas</t>
  </si>
  <si>
    <t>Atliktiems darbams panaudota lėšų 
(tūkst. Eur)
 iki 2021 m.</t>
  </si>
  <si>
    <t>Tvarkybos darbai</t>
  </si>
  <si>
    <t>2021 m. (tūkst. Eur)</t>
  </si>
  <si>
    <t>2022 m. (tūkst. Eur)</t>
  </si>
  <si>
    <t>2023 m. (tūkst. Eur)</t>
  </si>
  <si>
    <t>Objekto tvarkybos pradžios metai</t>
  </si>
  <si>
    <t>Numatoma tvarkybos darbų pabaiga</t>
  </si>
  <si>
    <t>Valstybės biudžeto</t>
  </si>
  <si>
    <t>Pareiškėjo ir kitų šaltinių</t>
  </si>
  <si>
    <t>Iš viso</t>
  </si>
  <si>
    <t>Valdytojo</t>
  </si>
  <si>
    <t>Kitų finansavimo šaltinių</t>
  </si>
  <si>
    <t xml:space="preserve">Valstybės biudžeto </t>
  </si>
  <si>
    <t xml:space="preserve">Kitų finansavimo šaltinių </t>
  </si>
  <si>
    <t>1. TĘSTINIAI TVARKYBOS DARBAI (34 objektai)</t>
  </si>
  <si>
    <t>Benediktinių vienuolyno komplekso (823) šventoriaus tvora su vartais, Kauno m. sav., Kauno m., Benediktinių g.</t>
  </si>
  <si>
    <t>22364
Valstybės saugomas</t>
  </si>
  <si>
    <t>Kauno seserų benediktinių vienuolynas</t>
  </si>
  <si>
    <t>Tvoros tvarkybos (restauravimo) darbai, I etapo 2 dalis</t>
  </si>
  <si>
    <r>
      <t>Čekiškės sinagogos pastatas, Kauno r. sav., Čekiškės sen., Čekiškės mstl.</t>
    </r>
    <r>
      <rPr>
        <i/>
        <sz val="11"/>
        <rFont val="Times New Roman"/>
        <family val="1"/>
        <charset val="186"/>
      </rPr>
      <t/>
    </r>
  </si>
  <si>
    <t>33462
Valstybės saugomas</t>
  </si>
  <si>
    <t>Kauno žydų religinė bendruomenė</t>
  </si>
  <si>
    <t>Tvarkybos (remonto, restauravimo, konservavimo) darbų projekto keitimas ir darbai</t>
  </si>
  <si>
    <t>Tvarkybos (remonto, restauravimo, konservavimo) darbai</t>
  </si>
  <si>
    <t>Švėkšnos sinagoga, Šilutės r. sav., Švėkšnos sen., Švėkšnos mstl., Liepų a. 12</t>
  </si>
  <si>
    <t>30620
Valstybės saugomas</t>
  </si>
  <si>
    <t>Šilutės r. savivaldybės administracija</t>
  </si>
  <si>
    <t>Marijampolės Šv. arkangelo Mykolo bažnyčios ir marijonų vienuolyno statinių komplekso marijonų vienuolynas, Marijampolės sav., Marijampolės m., J. Bendoriaus g. 3</t>
  </si>
  <si>
    <t>17384
Valstybės saugomas</t>
  </si>
  <si>
    <t>Marijampolės marijonų vienuolynas</t>
  </si>
  <si>
    <t>Fasadų, stogo ir rūsio patalpų tvarkybos (remonto, restauravimo ir avarijos grėsmės pašalinimo – apsaugos techninių priemonių įrengimo) darbai</t>
  </si>
  <si>
    <t>Palėvenės dominikonų vienuolyno statinių ansamblio (1488) dominikonų vienuolynas, Kupiškio r. sav., Noriūnų k., Palėvenės mstl.</t>
  </si>
  <si>
    <t>23622
Paminklas</t>
  </si>
  <si>
    <t>Kupiškio r. savivaldybės administracija</t>
  </si>
  <si>
    <t>Tvarkybos (remonto, konservavimo, restauravimo ir avarijos grėsmės pašalinimo) darbai</t>
  </si>
  <si>
    <t>Tvarkybos (remonto, konservavimo, restauravimo ir avarijos grėsmės pašalinimo) darbai)</t>
  </si>
  <si>
    <t>2399
Valstybės saugomas</t>
  </si>
  <si>
    <t>Pasvalio r. savivaldybės administracija</t>
  </si>
  <si>
    <t>Tvarkybos (konservavimo, restauravimo, remonto) darbų projekto keitimas ir darbai</t>
  </si>
  <si>
    <r>
      <t>Tvarkybos (konservavimo, restauravimo, remonto)</t>
    </r>
    <r>
      <rPr>
        <sz val="11"/>
        <rFont val="Times New Roman"/>
        <family val="1"/>
        <charset val="186"/>
      </rPr>
      <t xml:space="preserve"> darbai</t>
    </r>
  </si>
  <si>
    <t>3103
Valstybės saugomas</t>
  </si>
  <si>
    <t>Radviliškio r. savivaldybės administracija</t>
  </si>
  <si>
    <t>Tvarkybos (remonto, restauravimo ir avarijos grėsmės pašalinimo) darbai</t>
  </si>
  <si>
    <t>Alantos sinagoga, Molėtų r. sav., Alantos sen., Alantos mstl., Ukmergės g. 3A</t>
  </si>
  <si>
    <t>35283
Valstybės saugomas</t>
  </si>
  <si>
    <t>Lietuvos žydų (litvakų) bendruomenė</t>
  </si>
  <si>
    <t>Tvarkybos (remonto, restauravimo, avarijos grėsmės pašalinimo-apsaugos techninių priemonių įrengimo) darbai</t>
  </si>
  <si>
    <t>Kurklių sinagoga, Anykščių r. sav., Kurklių sen., Kurklių mstl., Salomėjos Nėries g.</t>
  </si>
  <si>
    <t>37596
Valstybės saugomas</t>
  </si>
  <si>
    <t>Švenčionių Švč. Trejybės cerkvė, Vilniaus g. 20, Švenčionys</t>
  </si>
  <si>
    <t>31430
Valstybės saugomas</t>
  </si>
  <si>
    <t>Švenčionių stačiatikių Švč. Trejybės parapija</t>
  </si>
  <si>
    <t>Tvarkybos (remonto, restauravimo) darbai</t>
  </si>
  <si>
    <t>Vilniaus sinagoga, Gėlių g. 6, Vilnius</t>
  </si>
  <si>
    <t>27998
Valstybės saugomas</t>
  </si>
  <si>
    <t>Vilniaus evangelikų reformatų bažnyčios ir kitų statinių komplekso (33863) evangelikų reformatų bažnyčia, Vilniaus m. sav., Vilniaus m., Pylimo g. 18</t>
  </si>
  <si>
    <t xml:space="preserve">1068
Valstybės saugomas
</t>
  </si>
  <si>
    <t>Lietuvos evangelikų reformatų bažnyčia - Sinodas</t>
  </si>
  <si>
    <t>Vilniaus Šventųjų Pranciškaus Asyžiečio, Bernardino Sieniečio bei Šv. Onos bažnyčių ir bernardinų vienuolyno statinių ansamblio šventoriaus tvora su vartais (24701) ir Kristaus laiptų koplyčios (17310) pietvakarių fasado siena, Vilniaus m. sav., Vilnius, Maironio g.</t>
  </si>
  <si>
    <t>24701
Paminklas
17310
Valstybės saugomas</t>
  </si>
  <si>
    <t>Šv. Pranciškaus ir Šv. Bernardino vienuolynas</t>
  </si>
  <si>
    <t>Tvarkybos (remonto, restauravimo, avarijos grėsmės pašalinimo) darbai</t>
  </si>
  <si>
    <r>
      <t>Daniliškių Švč. Trejybės sentikių cerkvė, Trakų r. sav., Trakų sen., Daniliškių k.</t>
    </r>
    <r>
      <rPr>
        <i/>
        <sz val="11"/>
        <rFont val="Times New Roman"/>
        <family val="1"/>
        <charset val="186"/>
      </rPr>
      <t/>
    </r>
  </si>
  <si>
    <t>39585
Valstybės saugomas</t>
  </si>
  <si>
    <t>Daniliškių sentikių religinė bendruomenė</t>
  </si>
  <si>
    <t>Tvarkybos (remonto, avarijos grėsmės pašalinimo – apsaugos techninių priemonių įrengimo) darbai</t>
  </si>
  <si>
    <t>Evangelikų liuteronų bažnyčios pastatų komplekso evangelikų liuteronų bažnyčia, Šilutės rajono sav., Rusnės sen., Rusnės mstl., Neringos g. 10</t>
  </si>
  <si>
    <t>1644
Valstybės saugomas</t>
  </si>
  <si>
    <t>Rusnės evangelikų liuteronų parapija</t>
  </si>
  <si>
    <t>Stogo tvarkybos (remonto) darbai</t>
  </si>
  <si>
    <t>Rokiškio dvaro sodybos rūmai, Rokiškio rajono sav., Rokiškio miesto sen., Rokiškio m., Tyzenhauzų g. 5</t>
  </si>
  <si>
    <t>571
Paminklas</t>
  </si>
  <si>
    <t>Rokiškio r. savivaldybės administracija</t>
  </si>
  <si>
    <t>Linkuvos karmelitų vienuolyno ansamblio vienuolyno namas, Pakruojo rajono sav., Linkuvos sen., Linkuvos m., Varpo g. 13</t>
  </si>
  <si>
    <t>23686
Valstybės saugomas</t>
  </si>
  <si>
    <t>Pakruojo r. savivaldybės administracija</t>
  </si>
  <si>
    <t>Tvarkybos (remonto, restauravimo ir konservavimo) darbai</t>
  </si>
  <si>
    <t>Atgailos kanauninkų vienuolyno ansamblio vienuolyno namas, Molėtų rajono sav., Videniškių sen., Videniškių k.</t>
  </si>
  <si>
    <t>25029
Paminklas</t>
  </si>
  <si>
    <t>Molėtų r. savivaldybės administracija</t>
  </si>
  <si>
    <t>Antro aukšto patalpų tvarkybos (konservavimo, restauravimo, remonto) darbai</t>
  </si>
  <si>
    <t>292
Valstybės saugomas</t>
  </si>
  <si>
    <t>VšĮ Alantos technologijos ir verslo mokykla</t>
  </si>
  <si>
    <t>Rūmų bokšto ir pagrindinio fasado tvarkybos (restauravimo ir remonto) darbai</t>
  </si>
  <si>
    <t>Vilniaus jėzuitų vienuolyno pastatų ansamblio Šv. Kazimiero bažnyčia, Vilniaus miesto sav., Vilniaus m., Didžioji g. 34</t>
  </si>
  <si>
    <t>27304
Valstybės saugomas</t>
  </si>
  <si>
    <t>Lietuvos jėzuitų provincija</t>
  </si>
  <si>
    <t>Avarijos grėsmės pašalinimo (apsaugos techninių priemonių įrengimo) darbai</t>
  </si>
  <si>
    <t>Vilniaus kenesa, Vilniaus miesto sav., Vilniaus m., Liubarto g. 6C</t>
  </si>
  <si>
    <t>15999
Valstybės saugomas</t>
  </si>
  <si>
    <t>Karaimų religinė bendruomenė</t>
  </si>
  <si>
    <t>Tvarkybos (remonto, restauravimo ir avarijos grėsmės pašalinimo - apsaugos techninių priemonių įrengimo) darbai</t>
  </si>
  <si>
    <t>Čiobiškio dvaro sodybos oficina, Širvintų rajono sav., Čiobiškio sen. Čiobiškio k., Vilties g. 1</t>
  </si>
  <si>
    <t>26245
Valstybės saugomas</t>
  </si>
  <si>
    <t>UAB Graičiūno aukštoji vadybos mokykla</t>
  </si>
  <si>
    <t>Tvarkybos (konservavimo, restauravimo, remonto, avarijos grėsmės pašalinimo) darbai</t>
  </si>
  <si>
    <t>2455
Valstybės saugomas</t>
  </si>
  <si>
    <t>Marijampolės savivaldybės administracija</t>
  </si>
  <si>
    <t>Rūsio tvarkybos (remonto, restauravimo ir avarijos grėsmės pašalinimo – apsaugos techninių priemonių įrengimo) darbai</t>
  </si>
  <si>
    <t>Ohel Jaakov choralinė sinagoga, E. Ožeškienės g. 13, Kaunas</t>
  </si>
  <si>
    <t>36692
Valstybės saugomas</t>
  </si>
  <si>
    <t>Pamatų tvarkybos (restauravimo, remonto) darbai</t>
  </si>
  <si>
    <t>Pamatų tvarkybos (restauravimo, remonto) darbai pagal projekto "A" laidą</t>
  </si>
  <si>
    <t>Kauno bernardinų vienuolyno ir  Šv. Jurgio Kankinio bažnyčios statinių komplekso Kauno bernardinų vienuolynas, Papilio g. 7. Kaunas</t>
  </si>
  <si>
    <t>22350
Paminklas</t>
  </si>
  <si>
    <t>Lietuvos Šv. Kazimiero provincijos Kauno Šv. Jurgio konventas</t>
  </si>
  <si>
    <t>Refektorijaus konservavimo, restauravimo darbai</t>
  </si>
  <si>
    <r>
      <t>Trakų Švč, Mergelės Marijos Apsilankymo bažnyčios statinių komplekso klebonija, Birutės g. 8, Trakai</t>
    </r>
    <r>
      <rPr>
        <i/>
        <sz val="11"/>
        <rFont val="Times New Roman"/>
        <family val="1"/>
        <charset val="186"/>
      </rPr>
      <t/>
    </r>
  </si>
  <si>
    <t>1690
Valstybės saugomas</t>
  </si>
  <si>
    <t>Trakų bažnyčios parapija</t>
  </si>
  <si>
    <t>Tvarkybos (remonto, konservavimo, restauravimo) darbai</t>
  </si>
  <si>
    <t>10959
Valstybės saugomas</t>
  </si>
  <si>
    <t>Kėdainių r. savivaldybės administracija</t>
  </si>
  <si>
    <t>Tyrimai ir tvarkybos (remonto, restauravimo, avarijos grėsmės pašalinimo - apsaugos techninių priemonių įrengimo) darbų projekto parengimas</t>
  </si>
  <si>
    <t>Tyrimai ir tvarkybos (remonto, restauravimo, avarijos grėsmės pašalinimo - apsaugos techninių priemonių įrengimo) darbų projekto parengimas ir darbai</t>
  </si>
  <si>
    <t>31163
Valstybės saugomas</t>
  </si>
  <si>
    <t>Magazinas, Mažeikių rajono sav., Sedos sen., Sedos m., Vytauto g. 46</t>
  </si>
  <si>
    <t>15985
Valstybės saugomas</t>
  </si>
  <si>
    <t>Mažeikių r. Sedos kultūros centras</t>
  </si>
  <si>
    <t>Vilniaus bazilijonų vienuolyno statinių ansamblio Švč. Trejybės bažnyčia, Vilniaus miesto sav., Vilniaus m., Aušros Vartų g. 7B</t>
  </si>
  <si>
    <t>27316
Valstybės saugomas</t>
  </si>
  <si>
    <t>Šv. Juozapato bazilijonų Vilniaus vienuolynas</t>
  </si>
  <si>
    <t>Salės interjero (pietinės sienos) tyrimai ir tvarkybos (remonto, restauravimo, konservavimo) darbų projekto parengimas</t>
  </si>
  <si>
    <t>Salės interjero (pietinės sienos) tyrimai ir tvarkybos (remonto, restauravimo, konservavimo) darbų projekto parengimas ir darbai</t>
  </si>
  <si>
    <t>Vilniaus bazilijonų vienuolyno statinių ansamblio varpinė, Vilniaus miesto sav., Vilniaus m., Aušros Vartų g. 7B</t>
  </si>
  <si>
    <t>27317
valstybės saugomas</t>
  </si>
  <si>
    <t>Tyrimai ir tvarkybos (remonto, konservavimo, restauravimo ir avarijos   grėsmės pašalinimo – ATP įrengimo) darbų projekto parengimas</t>
  </si>
  <si>
    <t>Tyrimai ir tvarkybos (remonto, konservavimo, restauravimo ir avarijos   grėsmės pašalinimo – ATP įrengimo) darbų projekto parengimas ir darbai</t>
  </si>
  <si>
    <t>Vilniaus augustinų vienuolyno statinių ansamblis Švč. Mergelės Marijos Ramintojos bažnyčia, Vilniaus miesto sav., Vilniaus m., Savičiaus g. 15,</t>
  </si>
  <si>
    <t xml:space="preserve">1093
Valstybės saugomas
</t>
  </si>
  <si>
    <t>Turto valdymo ir ūkio departamentas prie Lietuvos Respublikos vidaus reikalų ministerijos</t>
  </si>
  <si>
    <t xml:space="preserve">Tyrimai ir tvarkybos (avarijos grėsmės pašalinimo, restauravimo, remonto) darbų projektinių pasiūlymų parengimas </t>
  </si>
  <si>
    <t>Tyrimai ir tvarkybos (avarijos grėsmės pašalinimo, restauravimo, remonto) darbų projektinių pasiūlymų parengimas ir darbai</t>
  </si>
  <si>
    <t>Skuodo evangelikų liuteronų bažnyčia, Skuodo rajono sav., Skuodo miesto sen., Skuodo m., Vytauto g. 1</t>
  </si>
  <si>
    <t>1596
Valstybės saugomas</t>
  </si>
  <si>
    <t>Skuodo r. savivaldybės administracija</t>
  </si>
  <si>
    <t>Tyrimai ir tvarkybos (remonto, avarijos grėsmės pašalinimo - apsaugos techninių priemonių įrengimo) darbų projekto parengimas</t>
  </si>
  <si>
    <t>Tyrimai ir tvarkybos (remonto, avarijos grėsmės pašalinimo - apsaugos techninių priemonių įrengimo) darbų projekto parengimas ir darbai</t>
  </si>
  <si>
    <t>Žeimelio evangelikų liuteronų bažnyčia, Pakruojo rajono sav., Žeimelio sen., Žeimelio mstl., Vytauto Didžiojo g. 4A</t>
  </si>
  <si>
    <t>16039
Valstybės saugomas</t>
  </si>
  <si>
    <t>Žeimelio evangelikų liuteronų parapija</t>
  </si>
  <si>
    <t>Stogo tyrimai ir tvarkybos darbų projekto parengimas</t>
  </si>
  <si>
    <t>Stogo tyrimai ir tvarkybos darbų projekto parengimas ir darbai</t>
  </si>
  <si>
    <t>Adomynės dvaro sodybos rūmai, Kupiškio r.</t>
  </si>
  <si>
    <t>1496
Valstybės saugomas</t>
  </si>
  <si>
    <t>Kupiškio rajono savivaldybės administracija</t>
  </si>
  <si>
    <t>Kauno meno mokyklos statinių ir Kauno tvirtovės 9-tosios baterijos liekanų komplekso Laikinoji M. K. Čiurlionio dailės galerija, A. Mackevičiaus g. 27, Kaunas</t>
  </si>
  <si>
    <t>25775
Paminklas</t>
  </si>
  <si>
    <t>VšĮ Kauno kolegija</t>
  </si>
  <si>
    <t>Stogo, fasado ir vidaus patalpų tvarkybos (restauravimo, remonto) darbai</t>
  </si>
  <si>
    <t>Kauno Šv. Mikalojaus bažnyčios ir benediktinių vienuolyno statinių komplekso klebonija, Benediktinių g. 6, Kaunas</t>
  </si>
  <si>
    <t>22363
Valstybės saugomas</t>
  </si>
  <si>
    <t>Stogo ir fasadų tvarkybos (restauravimo) darbai</t>
  </si>
  <si>
    <t>Verkių dvaro sodybos administracinis pastatas, Jeruzalės g. 45, Vilnius</t>
  </si>
  <si>
    <t>25014
Paminklas</t>
  </si>
  <si>
    <t>UAB ,,Firma VITI“</t>
  </si>
  <si>
    <t>Fasadų tvarkybos (remonto) darbai</t>
  </si>
  <si>
    <t>Kretingos dvaro sodybos rūmai , Vilniaus g. 20, Kretinga</t>
  </si>
  <si>
    <t>1430
Valstybės saugomas</t>
  </si>
  <si>
    <t>Kretingos rajono savivaldybės Kretingos muziejus</t>
  </si>
  <si>
    <t>Centrinio žiemos sodo - oranžerijos tvarkybos (remonto) darbai</t>
  </si>
  <si>
    <t>Liubavo dvaro sodybos arklidė, Liubavo k., Vilniaus r.</t>
  </si>
  <si>
    <t>33094
Valstybės saugomas</t>
  </si>
  <si>
    <t>VšĮ Europos parkas</t>
  </si>
  <si>
    <t>Gelgaudiškio dvaro sodybos rūmai, Šakių r., Šakių r.</t>
  </si>
  <si>
    <t>586
Paminklas</t>
  </si>
  <si>
    <t>Šakių r. savivaldybės administracija</t>
  </si>
  <si>
    <t>113 ir 114 patalpų tvarkybos (remonto, restauravimo) darbai</t>
  </si>
  <si>
    <t>Siesikų dvaro sodybos rūmai, Daugailių k., Ukmergės r.</t>
  </si>
  <si>
    <t>1025
Paminklas</t>
  </si>
  <si>
    <t>Ukmergės r. savivaldybės administracija</t>
  </si>
  <si>
    <t>II a. tvarkybos (konservavimo, restauravimo, remonto) darbai</t>
  </si>
  <si>
    <t>Lietuvos Respublikos Ministrų kabineto pastatas, K. Donelaičio g. 58, Kaunas</t>
  </si>
  <si>
    <t>16580
Paminklas</t>
  </si>
  <si>
    <t>Vytauto Didžiojo universitetas</t>
  </si>
  <si>
    <t>Tvarkybos (konservavimo, restauravimo, remonto) darbai</t>
  </si>
  <si>
    <t>Kauno tvirtovės vadavietės pastatų komplekso tvirtovės komendanto rūmai, Gedimino g. 25, Kaunas</t>
  </si>
  <si>
    <t>27046
Valstybės saugomas</t>
  </si>
  <si>
    <t>Lietuvos kariuomenės Karinės oro pajėgos</t>
  </si>
  <si>
    <t>121,122 patalpų tvarkybos (konservavimo, restauravimo, remonto) darbai</t>
  </si>
  <si>
    <t>Vilniaus senųjų kapinių, vad. Šv. apaštalų Petro ir Povilo, kitaip Saulės kapinėmis, šv. Vincento Pauliečio koplyčia, Saulės g., Vilniaus m.</t>
  </si>
  <si>
    <t>30386
Valstybės saugomas</t>
  </si>
  <si>
    <t>Vilniaus m. savivaldybės administracija</t>
  </si>
  <si>
    <t xml:space="preserve">Baisogalos dvaro sodybos ledainė, Radviliškio r. </t>
  </si>
  <si>
    <t>23334
Paminklas</t>
  </si>
  <si>
    <t>LSMU Gyvulininkystės institutas</t>
  </si>
  <si>
    <t>Klaipėdos senamiestis; 
Klaipėdos senojo miesto vieta su priemiesčiais; 
Senojo miesto vieta</t>
  </si>
  <si>
    <t>16075
Valstybės saugomas
27077
Valstybės saugomas
27078
Valstybės saugomas</t>
  </si>
  <si>
    <t>Klaipėdos m. evangelikų liuteronų parapija</t>
  </si>
  <si>
    <t>Buv. Šv. Jono bažnyčios vietos archeologiniai ir architektūros konstrukcijų tyrimai</t>
  </si>
  <si>
    <t>25777
Paminklas</t>
  </si>
  <si>
    <t>Tyrimai, tvarkybos (konservavimo, restauravimo, remonto) darbų projekto parengimas</t>
  </si>
  <si>
    <t>Pastatų komplekso namas, Vytauto g. 23, Biržai</t>
  </si>
  <si>
    <t>10484
Valstybės saugomas</t>
  </si>
  <si>
    <t>Biržų r. savivaldybės administracija</t>
  </si>
  <si>
    <t>Tyrimai ir tvarkybos darbų projekto parengimas</t>
  </si>
  <si>
    <t>Iš viso  (2 skyrius):</t>
  </si>
  <si>
    <t>Trakų Vokės dvaro sodybos koplyčia-mauzoliejus, Eduardo Andrė g. 19, Vilnius</t>
  </si>
  <si>
    <t>24983
Valstybės saugomas</t>
  </si>
  <si>
    <t>Lentvario Viešpaties apreiškimo Švč. Mergelei Marijai parapija</t>
  </si>
  <si>
    <t>Baltadvario įtvirtintos dvaro sodybos fragmentų Šiaurės vartų pastato fragmentai, Molėtų r.</t>
  </si>
  <si>
    <t>37598
Valstybės saugomas</t>
  </si>
  <si>
    <t>Molėtų rajono savivaldybės administracija</t>
  </si>
  <si>
    <t>Vandens malūnas, Katyčių mstl., Šilutės r.</t>
  </si>
  <si>
    <t>4834
Valstybės saugomas</t>
  </si>
  <si>
    <t>Vaidas Arnašius</t>
  </si>
  <si>
    <t>Teisininko, visuomenės veikėjo Andriaus Bulotos sodybos ūkinis pastatas, P. Vaičaičio g. 16, Marijampolė</t>
  </si>
  <si>
    <t>Taikomieji tyrimai</t>
  </si>
  <si>
    <t>Pastatų komplekso šeštas namas, V. Putvinskio g. 70, Kaunas</t>
  </si>
  <si>
    <t>Mykolo Romerio universitetas</t>
  </si>
  <si>
    <t>Šv. apaštalų Petro ir Povilo arkikatedra bazilika,  Kaunas,  Vilniaus g. 1</t>
  </si>
  <si>
    <t>Kauno Šv. Apaštalų Petro ir Povilo parapija</t>
  </si>
  <si>
    <t>Šoninės navos I ir II travėjų, sienų, lubų tvarkybos (konservavimo, restauravimo) darbai</t>
  </si>
  <si>
    <t>Šv. apaštalų Petro ir Povilo arkikatedra bazilika,  Kaunas,  Vilniaus g. 2</t>
  </si>
  <si>
    <t xml:space="preserve">Švč. Dievo Motinos ėmimo į Dangų altoriaus konservavimo, restauravimo darbai </t>
  </si>
  <si>
    <t xml:space="preserve">Rokiškio šv. apaštalo Mato evangelisto bažnyčia </t>
  </si>
  <si>
    <t>Rokiškio šv. apaštalo Mato evangelisto parapija</t>
  </si>
  <si>
    <t>Vidaus patalpų tvarkybos (konservavimo, restauravimo, remonto ir apsaugos techninių priemonių įrengimo) darbai</t>
  </si>
  <si>
    <t>Unikalus kodas Kultūros vertybių registre</t>
  </si>
  <si>
    <t>2021 m. lėšos (tūkst. Eur)</t>
  </si>
  <si>
    <t>Tryškių Švč. Trejybės bažnyčia, Telšių r., Tryškių mstl., M. Valančiaus g. 6</t>
  </si>
  <si>
    <t>Tryškių Švč. Trejybės parapija</t>
  </si>
  <si>
    <t>Taikomieji tyrimai, tvarkybos (remonto, restauravimo, avarijos grėsmės pašalinimo) darbų projekto parengimas</t>
  </si>
  <si>
    <t>Taikomieji tyrimai, tvarkybos (remonto, restauravimo, avarijos grėsmės pašalinimo) darbų projekto parengimas ir darbai</t>
  </si>
  <si>
    <t>Laukuvos Šv. Kryžiaus Atradimo bažnyčia, Šilalės r., Laukuvos mstl., Taikos g.</t>
  </si>
  <si>
    <t>Laukuvos Šv. Kryžiaus Atradimo parapija</t>
  </si>
  <si>
    <t>Tvarkybos (avarijos grėsmės pašalinimo, konservavimo, remonto darbai</t>
  </si>
  <si>
    <t>Pikelių Švč. Trejybės bažnyčia, Mažeikių r., Pikelių mstl., Tvenkinio g. 3</t>
  </si>
  <si>
    <t>Pikelių Švč. Trejybės parapija</t>
  </si>
  <si>
    <t>Stogo tvarkybos (remonto, restauravimo, avarijos grėsmės pašalinimo - apsaugos techninių priemonių įrengimo) darbai</t>
  </si>
  <si>
    <t>Švėkšnos šv. Apaštalo Jokūbo bažnyčia, Šilutės r., Švėkšnos mstl.</t>
  </si>
  <si>
    <t>Švėkšnos Šv. apaštalo Jokūbo parapija</t>
  </si>
  <si>
    <t>Taikomieji tyrimai,         vidaus ir išorės tvarkybos darbų projekto parengimas</t>
  </si>
  <si>
    <t>Veliuonos Švč. M. Marijos Ėmimo į dangų bažnyčia,  Jurbarko r., Veliuonos mstl., Draugystės g. 4</t>
  </si>
  <si>
    <t>Veliuonos Švč. M. Marijos Ėmimo į dangų parapija</t>
  </si>
  <si>
    <t>Pagrindinės salės dalies: presbiterijos su zakristijos antro aukšto patalpomis tvarkybos (remonto, restauravimo) darbai</t>
  </si>
  <si>
    <t>Siesikų Šv. apaštalo Baltramiejaus bažnyčia, Ukmergės r., Siesikų mstl., Nepriklausomybės g. 9</t>
  </si>
  <si>
    <t>Siesikų Šv. apaštalo Baltramiejaus parapija</t>
  </si>
  <si>
    <t>Stogo tvarkybos (remonto, restauravimo, avarijos grėsmės pašalinimo - apsaugos techninių priemonių įrengimo) darbų projekto parengimas</t>
  </si>
  <si>
    <t>Dotnuvos Viešpaties Apreiškimo Švč. M. Marijai bažnyčia, Kėdainių r., Dotnuvos mstl., Vytauto g. 61</t>
  </si>
  <si>
    <t>Dotnuvos Viešpaties Apreiškimo Švč. M. Marijai parapija</t>
  </si>
  <si>
    <t>Bokštų tvarkybos (restauravimo, remonto) darbai</t>
  </si>
  <si>
    <t>Lyduokių Šv. arkangelo Mykolo bažnyčia, Ukmergės r., Lyduokių mstl., Klevų g. 2A</t>
  </si>
  <si>
    <t xml:space="preserve">Lyduokių Šv. arkangelo Mykolo parapija </t>
  </si>
  <si>
    <t>Interjero tvarkybos (remonto) darbai</t>
  </si>
  <si>
    <t>Pivašiūnų Švč. M.Marijos Ėmimo į dangų bažnyčios statinių komplekso Švč. M. Marijos Ėmimo į dangų bažnyčia, Alytaus r., Pivašiūnų k.</t>
  </si>
  <si>
    <t>Pivašiūnų Švč. M. Marijos Ėmimo į dangų parapija</t>
  </si>
  <si>
    <t>Vargonų tvarkybos darbai</t>
  </si>
  <si>
    <t>Vargonų prospekto konservavimo, restauravimo darbai</t>
  </si>
  <si>
    <t>Jiezno Šv. arkangelo Mykolo ir Jono Krikštytojo bažnyčia, Prienų r., Jiezno m., Vilniaus g. 2</t>
  </si>
  <si>
    <t>Jiezno Šv. arkangelo Mykolo ir Jono Krikštytojo parapija</t>
  </si>
  <si>
    <t>Vakarinio fasado ir bokštų tvarkybos (konservavimo, restauravimo ir remonto) darbai</t>
  </si>
  <si>
    <t>Šaukoto Švč. Trejybės bažnyčia, Radviliškio r., Šaukoto mstl., Šiaulėnų g. 31</t>
  </si>
  <si>
    <t>Šaukoto Švč. Trejybės parapija</t>
  </si>
  <si>
    <t>Presbiterijos tyrimo, konservavimo, restauravimo darbai</t>
  </si>
  <si>
    <t>Šeduvos Šv. Kryžiaus Atradimo bažnyčia, Radviliškio r., Šeduvos m., Vilniaus g. 8</t>
  </si>
  <si>
    <t>Šeduvos Šv. Kryžiaus Atradimo parapija</t>
  </si>
  <si>
    <t xml:space="preserve">Fasadų tvarkybos  (remonto, restauravimo, avarijos grėsmės pašalinimo) darbai </t>
  </si>
  <si>
    <t>Užvenčio Šv. Marijos Magdalietės bažnyčia, Kelmės r.,Užvenčio m., Kražių g. 8</t>
  </si>
  <si>
    <t>Užvenčio Šv. Marijos Magdalietės parapija</t>
  </si>
  <si>
    <t>Liškiavos Švč. Trejybės bažnyčia, Liškiava, Varėnos r., Liškiavos k., Bažnyčios g. 7</t>
  </si>
  <si>
    <t>Liškiavos Švč. Trejybės parapija</t>
  </si>
  <si>
    <t>Stogo ir fasadų tvarkybos (remonto, restauravimo, avarijos grėsmės pašalinimo) darbai</t>
  </si>
  <si>
    <t>Prienų Kristaus Apsireiškimo bažnyčia, Prienų r., Prienų m., Kęstučio g. 9</t>
  </si>
  <si>
    <t>Prienų Kristaus Apsireiškimo parapija</t>
  </si>
  <si>
    <t>Vidaus patalpų tvarkybos (remonto, restauravimo, avarijos grėsmės pašalinimo) darbai</t>
  </si>
  <si>
    <t>Ilguvos Šv. Kryžiaus Atradimo bažnyčia ir varpinė, Šakių r., Ilguvos k.</t>
  </si>
  <si>
    <t>1612
16101</t>
  </si>
  <si>
    <t xml:space="preserve"> Ilguvos Šv. Kryžiaus Atradimo parapija</t>
  </si>
  <si>
    <t>Taikomieji tyrimai, bažnyčios ir varpinės tvarkybos (remonto, restauravimo) darbų projekto parengimas</t>
  </si>
  <si>
    <t>Taikomieji tyrimai, bažnyčios ir varpinės tvarkybos (remonto, restauravimo) darbų projekto parengimas ir darbai</t>
  </si>
  <si>
    <t>Salų Šv. Kryžiaus bažnyčia, Rokiškio r., Salų mstl., Kaštonų g. 11</t>
  </si>
  <si>
    <t>Salų Šv. Kryžiaus parapija</t>
  </si>
  <si>
    <t>Salako Švč. M. Marijos Sopulingosios bažnyčia ir šventoriaus tvora, Zarasų r., Salako mstl., Bažnyčios g. 28</t>
  </si>
  <si>
    <t>Salako Švč. M. Marijos Sopulingosios parapija</t>
  </si>
  <si>
    <t>Bažnyčios eksterjero tvarkybos (remonto, restauravimo, avarijos grėsmės pašalinimo) darbai</t>
  </si>
  <si>
    <t>Palėvenės Šv. Domininko bažnyčia, Kupiškio r., Palėvenės mstl.</t>
  </si>
  <si>
    <t>Palėvenės Šv. Domininko parapija</t>
  </si>
  <si>
    <t xml:space="preserve">Sakyklos tyrimai, konservavimo, restauravimo darbai </t>
  </si>
  <si>
    <t>Vilniaus Šv. arkangelo Rapolo bažnyčia, Vilniaus m., Šnipiškių g. 1</t>
  </si>
  <si>
    <t>Vilniaus Šv. arkangelo Rapolo parapija</t>
  </si>
  <si>
    <t>Stogo tvarkybos (konservavimo, restauravimo, avarijos grėsmės pašalinimo) darbai</t>
  </si>
  <si>
    <t>Kaltanėnų Švč. M. Marijos Angeliškosios bažnyčios statinių komplekso šventoriaus tvora su vartais, Švenčionių r., Kaltanėnų mstl., Švenčionėlių g. 38</t>
  </si>
  <si>
    <t>Kaltanėnų Švč. M. Marijos Angeliškosios parapija</t>
  </si>
  <si>
    <t>Tvarkybos (remonto, restauravimo) darbų projekto parengimas</t>
  </si>
  <si>
    <t>Tvarkybos (remonto, restauravimo) darbų projekto parengimas ir darbai</t>
  </si>
  <si>
    <t>Palūšės Šv. Juozapo parapinės bažnyčios kompleksas, Ignalinos r., Palūšės k.</t>
  </si>
  <si>
    <t>Palūšės šv. Juozapo parapija</t>
  </si>
  <si>
    <t>Varpinės ir tvoros su vartais tvarkybos (remonto, restauravimo) darbai</t>
  </si>
  <si>
    <t>Vilniaus bonifratrų vienuolyno statinių ansamblio Šv. Kryžiaus bažnyčia, Vilniaus m., S. Daukanto a. 1</t>
  </si>
  <si>
    <t>Vilniaus arkivyskupijos kurija</t>
  </si>
  <si>
    <t>Taikomieji tyrimai, stogo tvarkybos darbų projekto parengimas</t>
  </si>
  <si>
    <t>Šumsko Šv. arkangelo Mykolo bažnyčia, Vilniaus r., Šumsko mstl., Vilniaus g. 8</t>
  </si>
  <si>
    <t>Šumsko Šv. arkangelo Mykolo parapija</t>
  </si>
  <si>
    <t xml:space="preserve">Judrėnų Šv. Antano Paduviečio bažnyčia, Klaipėdos r. sav., Judrėnai, Liepos g. </t>
  </si>
  <si>
    <t>Judrėnų Šv. Antano Paduviečio parapija</t>
  </si>
  <si>
    <t>Apsaugos techninių priemonių įrengimo tvarkybos darbų projekto parengimas</t>
  </si>
  <si>
    <t>Kalnalio bažnyčia, Kretingos r. sav., Imbarės sen., Kalnalio k.</t>
  </si>
  <si>
    <t>Kalnalio Šv. Lauryno  parapija</t>
  </si>
  <si>
    <t xml:space="preserve">Budrių Šv. Kryžiaus Išaukštinimo bažnyčia, Kretingos r. sav., Žalgirio sen. Budrių k. </t>
  </si>
  <si>
    <t>Budrių Šv. Kryžiaus Išaukštinimo parapija</t>
  </si>
  <si>
    <t>Veiviržėnų Šv. apaštalo evangelisto Mato bažnyčia,  Klaipėdos r. sav., Veiviržėnai, Laisvės g. 28</t>
  </si>
  <si>
    <t>Veiviržėnų Šv. apaštalo evangelisto Mato parapija</t>
  </si>
  <si>
    <t xml:space="preserve">Mikoliškių Šv. Juozapo bažnyčia, Kretingos r. sav., Žalgirio sen., Mikoliškių k. </t>
  </si>
  <si>
    <t>Mikoliškių Šv. Juozapo parapija</t>
  </si>
  <si>
    <t xml:space="preserve">Laukžemės Šv. apaštalo Andriejaus bažnyčia, Kretingos r. sav., Darbėnų sen., Laukžemės k. </t>
  </si>
  <si>
    <t>Laukžemės Šv. apaštalo Andriejaus parapija</t>
  </si>
  <si>
    <t>Kaimelio Šv. Arkangelo Mykolo bažnyčia, Šakių r. sav., Kidulių sen., Kaimelio k., Vilties g. 4</t>
  </si>
  <si>
    <t>Kaimelio Šv. Arkangelo Mykolo parapija</t>
  </si>
  <si>
    <t>Duokiškio Šv. Onos bažnyčia,  Rokiškio r. sav., Kamajų sen., Duokiškis</t>
  </si>
  <si>
    <t>Duokiškio Šv. Onos parapija</t>
  </si>
  <si>
    <t>Salų dvaro sodybos Šv. Kryžiaus bažnyčia, Rokiškio r., Kamajų sen., Salos, Kaštonų g. 11</t>
  </si>
  <si>
    <t>Kupreliškio Šv. arkangelo Mykolo bažnyčia, Biržų r. sav., Papilio sen., Kupreliškis</t>
  </si>
  <si>
    <t>Kupreliškio Šv. arkangelo Mykolo parapija</t>
  </si>
  <si>
    <t>Adomynės Švč. Mergelės Marijos Vardo bažnyčia, Kupiškio r. sav., Šimonių sen., Adomynės k. Adomo Vilėniškio g. 6</t>
  </si>
  <si>
    <t>Adomynės Švč. M. Marijos Vardo parapija</t>
  </si>
  <si>
    <t>Šiaudinės Švč. Mergelės Marijos bažnyčia, Akmenės r. sav., Papilės sen., Šiaudinės k., Bažnyčios g. 4</t>
  </si>
  <si>
    <t>Priklauso Papilės Šv. Juozapo parapijai</t>
  </si>
  <si>
    <t xml:space="preserve">Verpenos Šv. Onos bažnyčia,  Kelmės r. sav., Verpenos k. </t>
  </si>
  <si>
    <t>Priklauso Kelmės Švč. Mergelės Marijos Ėmimo į dangų parapijai</t>
  </si>
  <si>
    <t>Vaiguvos Šv. Jono Krikštytojo bažnyčia, Kelmės r. sav., Vaiguva, Alyvų g. 39</t>
  </si>
  <si>
    <t>Vaiguvos Šv. Jono Krikštytojo parapija</t>
  </si>
  <si>
    <t>Rozalimo Švč. M. Marijos bažnyčia, Pakruojo r. sav. Rozalimas</t>
  </si>
  <si>
    <t>Rozalimo Švč. M. Marijos Vardo Parapija</t>
  </si>
  <si>
    <t>Užvenčio Šv. Marijos Magdalenos bažnyčia, Kelmės r. sav., Užventis, Kražių g. 8</t>
  </si>
  <si>
    <t>Šv. Marijos Magdalietės parapija</t>
  </si>
  <si>
    <t>Stačiūnų Šv. Lauryno bažnyčia, Pakruojo r. sav., Lygumų sen., Stačiūnų k.</t>
  </si>
  <si>
    <t xml:space="preserve">Stačiūnų Šv. Lauryno parapija </t>
  </si>
  <si>
    <t>Adakavo Šv. Jono Krikštytojo bažnyčia, Tauragės r. sav., Skaudvilės sen., Adakavas, Bažnyčios g. 3</t>
  </si>
  <si>
    <t xml:space="preserve">Adakavo Šv. Jono Krikštytojo parapija </t>
  </si>
  <si>
    <t>Pagramančio Švč. M. Marijos Nekalto Prasidėjimo bažnyčia, Tauragės r. sav., Mažonų sen., Pagramantis</t>
  </si>
  <si>
    <t>Pagramančio Švč. Mergelės Marijos Nekaltojo Prasidėjimo parapija</t>
  </si>
  <si>
    <t>Sedos Šv. Jono Nepomuko bažnyčia, Mažeikių r. sav., Seda, Vytauto g. 48</t>
  </si>
  <si>
    <t>Aptarnauja Sedos Švč. Mergelės Marijos Ėmimo į dangų parapija</t>
  </si>
  <si>
    <t>Nevarėnų Nukryžiuotojo Jėzaus bažnyčia, Telšių r. sav., Nevarėnai, Gėlių g. 2A</t>
  </si>
  <si>
    <t>Nevarėnų Nukryžiuotojo Jėzaus parapija</t>
  </si>
  <si>
    <t>Tverų Švč. Mergelės Marijos Apsilankymo bažnyčia, Rietavo sav., Tverai, Žemaičių a. 6</t>
  </si>
  <si>
    <t>Tverų Švč. Mergelės Marijos Apsilankymo parapija</t>
  </si>
  <si>
    <t>Ukrinų  Šv. Antano Paduviečio bažnyčia, Mažeikių r. sav., Židikų sen., Ukrinų k., Taikos g. 12</t>
  </si>
  <si>
    <t>Ukrinų Šv. Antano Paduviečio parapija</t>
  </si>
  <si>
    <t>Ubiškės Šv. Angelų Sargų bažnyčia, Telšių r. sav., Tryškių sen., Ubiškės, Bubėno g.</t>
  </si>
  <si>
    <t>Ubiškės Šv. Angelų Sargų parapija</t>
  </si>
  <si>
    <t xml:space="preserve">Beržoro Šv. Stanislovo bažnyčia, Plungės r. sav., Platelių sen., Beržoro k. </t>
  </si>
  <si>
    <t>Aptarnauja Platelių Šv. apaštalų Petro ir Pauliaus parapija</t>
  </si>
  <si>
    <t>2. NAUJI TVARKYBOS DARBAI (15 objektų)</t>
  </si>
  <si>
    <t>1. TELŠIŲ VYSKUPIJA</t>
  </si>
  <si>
    <t>2. KAUNO ARKIVYSKUPIJA</t>
  </si>
  <si>
    <t>3. KAIŠIADORIŲ VYSKUPIJA</t>
  </si>
  <si>
    <t>4. ŠIAULIŲ VYSKUPIJA</t>
  </si>
  <si>
    <t>5. VILKAVIŠKIO VYSKUPIJA</t>
  </si>
  <si>
    <t>6. PANEVĖŽIO VYSKUPIJA</t>
  </si>
  <si>
    <t>7. VILNIAUS ARKIVYSKUPIJA</t>
  </si>
  <si>
    <t>8. AVARIJOS GRĖSMĖS PAŠALINIMO DARBAI (APSAUGOS TECHNINIŲ PRIEMONIŲ (GAISRINĖS SAUGOS) ĮRENGIMAS) MEDINĖSE BAŽNYČIOSE</t>
  </si>
  <si>
    <t>IŠ VISO PROGRAMA:</t>
  </si>
  <si>
    <t xml:space="preserve">
 I. TVARKYBOS DARBŲ, APSAUGOS TECHNINIŲ PRIEMONIŲ ĮRENGIMO SAUGOMUOSE KULTŪROS PAVELDO OBJEKTUOSE SĄRAŠAS
</t>
  </si>
  <si>
    <t>II. TVARKYBOS DARBAI ŠV. JONO PAULIAUS II PILIGRIMŲ KELIO KULTŪROS PAVELDO OBJEKTŲ SĄRAŠO OBJEKTUOSE</t>
  </si>
  <si>
    <t>III. TVARKYBOS DARBAI PAGAL LIETUVOS RESPUBLIKOS IR ŠVENTOJO SOSTO SUTARTĮ DĖL BENDRADARBIAVIMO ŠVIETIMO IR KULTŪROS SRITYJE NUMATYTUOSE KULTŪROS PAVELDO OBJEKTŲ SĄRAŠO OBJEKTUOSE</t>
  </si>
  <si>
    <t>IV. TAIKOMIEJI MOKSLINIAI TYRIMAI, AVARIJOS GRĖSMĖS PAŠALINIMO, APSAUGOS TECHNINIŲ PRIEMONIŲ ĮRENGIMO IR KITI NEATIDĖLIOTINI DARBAI  REGISTRINIUOSE KULTŪROS PAVELDO OBJEKTUOSE</t>
  </si>
  <si>
    <t>V. PROGRAMOS REZERVO LĖŠOS</t>
  </si>
  <si>
    <t>NEKILNOJAMŲJŲ KULTŪROS VERTYBIŲ TVARKYBOS DARBŲ (PAVELDOTVARKOS) FINANSAVIMO 2021–2023 M. PROGRAMA</t>
  </si>
  <si>
    <t>Šeduvos vilnų karšykla su technologine įranga, Radviliškio r. sav., Šeduvos miesto sen., Šeduvos m., Panevėžio g. 19</t>
  </si>
  <si>
    <t>Kauno meno mokyklos statinių ir Kauno tvirtovės 9-tosios baterijos liekanų komplekso sarginė, A. Mackevičiaus g., Kaunas</t>
  </si>
  <si>
    <t>3. AVARIJOS GRĖSMĖS PAŠALINIMO DARBAI (3 objektai)</t>
  </si>
  <si>
    <t>Avarijos grėsmės pašalinimo darbai</t>
  </si>
  <si>
    <t>Paberžės dvaro sodybos ir Švč. Mergelės Marijos Apsilankymo bažnyčios statinių komplekso klebonija, Kėdainių rajono sav., Gudžiūnų sen., Paberžės k.</t>
  </si>
  <si>
    <t>Paberžės dvaro sodybos ir Švč. Mergelės Marijos Apsilankymo bažnyčios statinių komplekso svirnas, Kėdainių rajono sav., Gudžiūnų sen., Paberžės k.</t>
  </si>
  <si>
    <t>Iš viso 1 skyrius</t>
  </si>
  <si>
    <t>Iš viso 3 skyrius</t>
  </si>
  <si>
    <t>Iš viso 1+2+3 skyrius</t>
  </si>
  <si>
    <t>Iš viso 1-7 skyrius</t>
  </si>
  <si>
    <t xml:space="preserve">Iš viso 8 skyrius </t>
  </si>
  <si>
    <t>Iš viso 1-8 skyrius</t>
  </si>
  <si>
    <t>I, IV rezervas</t>
  </si>
  <si>
    <t>II, III rezervas</t>
  </si>
  <si>
    <t>Iš  viso</t>
  </si>
  <si>
    <t>Iš viso I, IV   (su rezervu)</t>
  </si>
  <si>
    <t>Iš viso II, III   (su rezervu)</t>
  </si>
  <si>
    <t>IŠ VISO PROGRAMA</t>
  </si>
  <si>
    <r>
      <t>Raubonių vandens malūnas-karšykla-verpykla, Pasvalio r. sav., Saločių sen., Raubonių k.
(</t>
    </r>
    <r>
      <rPr>
        <i/>
        <sz val="11"/>
        <rFont val="Times New Roman"/>
        <family val="1"/>
        <charset val="186"/>
      </rPr>
      <t>Lygiagrečiai vykdomi kapitalinio remonto darbai, finansuojami statytojo lėšomis, kurių vertė 169,82 tūkst. eurų)</t>
    </r>
  </si>
  <si>
    <r>
      <t xml:space="preserve">Alantos dvaro sodybos rūmai, Molėtų rajono sav., Alantos sen., Alantos mstl., Parko g. 5
</t>
    </r>
    <r>
      <rPr>
        <i/>
        <sz val="11"/>
        <rFont val="Times New Roman"/>
        <family val="1"/>
        <charset val="186"/>
      </rPr>
      <t>(Lygiagrečiai vykdomi kapitalinio remonto darbai, finansuojami statytojo lėšomis, kurių vertė 204,93 tūkst. eurų)</t>
    </r>
  </si>
  <si>
    <r>
      <t xml:space="preserve">Marijampolės administracinių pastatų Pietų pastatas, Marijampolės sav., Marijampolės m., Vytauto g. 31
</t>
    </r>
    <r>
      <rPr>
        <i/>
        <sz val="11"/>
        <rFont val="Times New Roman"/>
        <family val="1"/>
        <charset val="186"/>
      </rPr>
      <t>(Lygiagrečiai vykdomi kapitalinio remonto darbai, finansuojami statytojo lėšomis, kurių vertė 11,9 tūkst. eurų)</t>
    </r>
  </si>
  <si>
    <t>+</t>
  </si>
  <si>
    <t>-</t>
  </si>
  <si>
    <t>Papdidinta vertė suderinta, todėl 2022 m. nurodoma likusi suma</t>
  </si>
  <si>
    <t>Savivaldyb4 prisid4s proporcingai</t>
  </si>
  <si>
    <t>Tikslinamas statytojo prisid4jimas</t>
  </si>
  <si>
    <t>Savivaldyb4 didina ind4l5</t>
  </si>
  <si>
    <t>Savivaldyb4 skyr4 papildomai</t>
  </si>
  <si>
    <t>PATVIRTINTA           
Lietuvos Respublikos kultūros ministro
2021 m. rugpjūčio 31 d. įsakymu Nr. ĮV-1029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</si>
</sst>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38" x14ac:knownFonts="1">
    <font>
      <sz val="11"/>
      <color theme="1"/>
      <name val="Calibri"/>
      <family val="2"/>
      <charset val="186"/>
      <scheme val="minor"/>
    </font>
    <font>
      <b/>
      <sz val="11"/>
      <color theme="1"/>
      <name val="Calibri"/>
      <family val="2"/>
      <charset val="186"/>
      <scheme val="minor"/>
    </font>
    <font>
      <sz val="11"/>
      <color theme="1"/>
      <name val="Times New Roman"/>
      <family val="1"/>
    </font>
    <font>
      <sz val="12"/>
      <color theme="1"/>
      <name val="Times New Roman"/>
      <family val="1"/>
      <charset val="186"/>
    </font>
    <font>
      <b/>
      <strike/>
      <sz val="14"/>
      <color theme="1"/>
      <name val="Times New Roman"/>
      <family val="1"/>
      <charset val="186"/>
    </font>
    <font>
      <sz val="11"/>
      <name val="Times New Roman"/>
      <family val="1"/>
      <charset val="186"/>
    </font>
    <font>
      <sz val="11"/>
      <name val="Times New Roman"/>
      <family val="1"/>
    </font>
    <font>
      <sz val="11"/>
      <color theme="1"/>
      <name val="Times New Roman"/>
      <family val="1"/>
      <charset val="186"/>
    </font>
    <font>
      <b/>
      <sz val="10"/>
      <color theme="1"/>
      <name val="Times New Roman"/>
      <family val="1"/>
    </font>
    <font>
      <b/>
      <sz val="11"/>
      <name val="Times New Roman"/>
      <family val="1"/>
    </font>
    <font>
      <b/>
      <i/>
      <sz val="11"/>
      <name val="Times New Roman"/>
      <family val="1"/>
    </font>
    <font>
      <b/>
      <sz val="11"/>
      <name val="Times New Roman"/>
      <family val="1"/>
      <charset val="186"/>
    </font>
    <font>
      <i/>
      <sz val="11"/>
      <name val="Times New Roman"/>
      <family val="1"/>
      <charset val="186"/>
    </font>
    <font>
      <sz val="11"/>
      <color theme="9" tint="-0.249977111117893"/>
      <name val="Times New Roman"/>
      <family val="1"/>
      <charset val="186"/>
    </font>
    <font>
      <b/>
      <sz val="11"/>
      <color theme="1"/>
      <name val="Times New Roman"/>
      <family val="1"/>
    </font>
    <font>
      <b/>
      <i/>
      <sz val="11"/>
      <name val="Times New Roman"/>
      <family val="1"/>
      <charset val="186"/>
    </font>
    <font>
      <b/>
      <sz val="11"/>
      <color theme="1"/>
      <name val="Times New Roman"/>
      <family val="1"/>
      <charset val="186"/>
    </font>
    <font>
      <b/>
      <strike/>
      <sz val="11"/>
      <name val="Times New Roman"/>
      <family val="1"/>
    </font>
    <font>
      <b/>
      <strike/>
      <sz val="11"/>
      <name val="Times New Roman"/>
      <family val="1"/>
      <charset val="186"/>
    </font>
    <font>
      <sz val="11"/>
      <color theme="1"/>
      <name val="Calibri"/>
      <family val="2"/>
      <scheme val="minor"/>
    </font>
    <font>
      <sz val="11"/>
      <name val="Calibri"/>
      <family val="2"/>
      <charset val="186"/>
      <scheme val="minor"/>
    </font>
    <font>
      <b/>
      <sz val="11"/>
      <name val="Calibri"/>
      <family val="2"/>
      <charset val="186"/>
      <scheme val="minor"/>
    </font>
    <font>
      <sz val="10"/>
      <name val="Times New Roman"/>
      <family val="1"/>
      <charset val="186"/>
    </font>
    <font>
      <b/>
      <sz val="14"/>
      <name val="Times New Roman"/>
      <family val="1"/>
      <charset val="186"/>
    </font>
    <font>
      <b/>
      <sz val="12"/>
      <name val="Times New Roman"/>
      <family val="1"/>
    </font>
    <font>
      <b/>
      <sz val="12"/>
      <name val="Times New Roman"/>
      <family val="1"/>
      <charset val="186"/>
    </font>
    <font>
      <sz val="11"/>
      <color rgb="FFFF0000"/>
      <name val="Calibri"/>
      <family val="2"/>
      <charset val="186"/>
      <scheme val="minor"/>
    </font>
    <font>
      <sz val="11"/>
      <color rgb="FF00B050"/>
      <name val="Calibri"/>
      <family val="2"/>
      <charset val="186"/>
      <scheme val="minor"/>
    </font>
    <font>
      <sz val="11"/>
      <color rgb="FF00B050"/>
      <name val="Times New Roman"/>
      <family val="1"/>
      <charset val="186"/>
    </font>
    <font>
      <sz val="11"/>
      <color rgb="FF00B050"/>
      <name val="Times New Roman"/>
      <family val="1"/>
    </font>
    <font>
      <b/>
      <sz val="11"/>
      <color rgb="FF00B050"/>
      <name val="Times New Roman"/>
      <family val="1"/>
    </font>
    <font>
      <b/>
      <sz val="11"/>
      <color rgb="FF00B050"/>
      <name val="Times New Roman"/>
      <family val="1"/>
      <charset val="186"/>
    </font>
    <font>
      <b/>
      <sz val="11"/>
      <color rgb="FF00B050"/>
      <name val="Calibri"/>
      <family val="2"/>
      <charset val="186"/>
      <scheme val="minor"/>
    </font>
    <font>
      <sz val="11"/>
      <color rgb="FFFF0000"/>
      <name val="Times New Roman"/>
      <family val="1"/>
      <charset val="186"/>
    </font>
    <font>
      <sz val="11"/>
      <color rgb="FFFF0000"/>
      <name val="Times New Roman"/>
      <family val="1"/>
    </font>
    <font>
      <b/>
      <sz val="11"/>
      <color rgb="FFFF0000"/>
      <name val="Times New Roman"/>
      <family val="1"/>
    </font>
    <font>
      <b/>
      <sz val="11"/>
      <color rgb="FFFF0000"/>
      <name val="Times New Roman"/>
      <family val="1"/>
      <charset val="186"/>
    </font>
    <font>
      <b/>
      <sz val="11"/>
      <color rgb="FFFF0000"/>
      <name val="Calibri"/>
      <family val="2"/>
      <charset val="186"/>
      <scheme val="minor"/>
    </font>
  </fonts>
  <fills count="2">
    <fill>
      <patternFill patternType="none"/>
    </fill>
    <fill>
      <patternFill patternType="gray125"/>
    </fill>
  </fills>
  <borders count="3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s>
  <cellStyleXfs count="2">
    <xf numFmtId="0" fontId="0" fillId="0" borderId="0"/>
    <xf numFmtId="0" fontId="19" fillId="0" borderId="0"/>
  </cellStyleXfs>
  <cellXfs count="366">
    <xf numFmtId="0" fontId="0" fillId="0" borderId="0" xfId="0"/>
    <xf numFmtId="2" fontId="11" fillId="0" borderId="2" xfId="0" applyNumberFormat="1" applyFont="1" applyFill="1" applyBorder="1" applyAlignment="1">
      <alignment horizontal="center" vertical="center"/>
    </xf>
    <xf numFmtId="1" fontId="2" fillId="0" borderId="2" xfId="0" applyNumberFormat="1" applyFont="1" applyFill="1" applyBorder="1" applyAlignment="1">
      <alignment horizontal="center" vertical="center" wrapText="1"/>
    </xf>
    <xf numFmtId="2" fontId="11" fillId="0" borderId="2" xfId="0" applyNumberFormat="1" applyFont="1" applyFill="1" applyBorder="1" applyAlignment="1">
      <alignment horizontal="center" vertical="center" wrapText="1"/>
    </xf>
    <xf numFmtId="2" fontId="11" fillId="0" borderId="0" xfId="0" applyNumberFormat="1" applyFont="1" applyFill="1" applyBorder="1" applyAlignment="1">
      <alignment horizontal="center" vertical="center"/>
    </xf>
    <xf numFmtId="164" fontId="17" fillId="0" borderId="24" xfId="0" applyNumberFormat="1" applyFont="1" applyFill="1" applyBorder="1" applyAlignment="1">
      <alignment horizontal="center" vertical="center"/>
    </xf>
    <xf numFmtId="164" fontId="17" fillId="0" borderId="25" xfId="0" applyNumberFormat="1" applyFont="1" applyFill="1" applyBorder="1" applyAlignment="1">
      <alignment horizontal="center" vertical="center"/>
    </xf>
    <xf numFmtId="0" fontId="5" fillId="0" borderId="2" xfId="0" applyFont="1" applyFill="1" applyBorder="1" applyAlignment="1">
      <alignment horizontal="left" vertical="center" wrapText="1"/>
    </xf>
    <xf numFmtId="0" fontId="11" fillId="0" borderId="34" xfId="0" applyFont="1" applyFill="1" applyBorder="1" applyAlignment="1">
      <alignment horizontal="left" vertical="center"/>
    </xf>
    <xf numFmtId="0" fontId="11" fillId="0" borderId="3" xfId="0" applyFont="1" applyFill="1" applyBorder="1" applyAlignment="1">
      <alignment horizontal="left" vertical="center" wrapText="1"/>
    </xf>
    <xf numFmtId="0" fontId="11" fillId="0" borderId="2" xfId="0" applyFont="1" applyFill="1" applyBorder="1" applyAlignment="1">
      <alignment horizontal="left" vertical="center" wrapText="1"/>
    </xf>
    <xf numFmtId="4" fontId="11" fillId="0" borderId="2" xfId="0" applyNumberFormat="1" applyFont="1" applyFill="1" applyBorder="1" applyAlignment="1">
      <alignment horizontal="center" vertical="center"/>
    </xf>
    <xf numFmtId="4" fontId="5" fillId="0" borderId="2" xfId="0" applyNumberFormat="1" applyFont="1" applyFill="1" applyBorder="1" applyAlignment="1">
      <alignment horizontal="center" vertical="center"/>
    </xf>
    <xf numFmtId="4" fontId="5" fillId="0" borderId="16" xfId="0" applyNumberFormat="1" applyFont="1" applyFill="1" applyBorder="1" applyAlignment="1">
      <alignment horizontal="center" vertical="center"/>
    </xf>
    <xf numFmtId="4" fontId="5" fillId="0" borderId="15"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11" fillId="0" borderId="3" xfId="0" applyFont="1" applyFill="1" applyBorder="1" applyAlignment="1">
      <alignment horizontal="left" vertical="center"/>
    </xf>
    <xf numFmtId="0" fontId="11" fillId="0" borderId="7"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xf>
    <xf numFmtId="1" fontId="5" fillId="0" borderId="2" xfId="0" applyNumberFormat="1" applyFont="1" applyFill="1" applyBorder="1" applyAlignment="1">
      <alignment horizontal="center" vertical="center"/>
    </xf>
    <xf numFmtId="0" fontId="11" fillId="0" borderId="2" xfId="1" applyFont="1" applyFill="1" applyBorder="1" applyAlignment="1">
      <alignment horizontal="left" vertical="top" wrapText="1"/>
    </xf>
    <xf numFmtId="0" fontId="11" fillId="0" borderId="2" xfId="1" applyFont="1" applyFill="1" applyBorder="1" applyAlignment="1">
      <alignment horizontal="left" vertical="center" wrapText="1"/>
    </xf>
    <xf numFmtId="4" fontId="11" fillId="0" borderId="2" xfId="0" applyNumberFormat="1" applyFont="1" applyFill="1" applyBorder="1" applyAlignment="1">
      <alignment horizontal="center" vertical="center" wrapText="1"/>
    </xf>
    <xf numFmtId="0" fontId="0" fillId="0" borderId="0" xfId="0" applyFill="1"/>
    <xf numFmtId="0" fontId="5" fillId="0" borderId="2" xfId="0" applyFont="1" applyFill="1" applyBorder="1" applyAlignment="1">
      <alignment horizontal="center" vertical="center" wrapText="1"/>
    </xf>
    <xf numFmtId="0" fontId="7" fillId="0" borderId="0" xfId="0" applyFont="1" applyFill="1" applyAlignment="1">
      <alignment vertical="center"/>
    </xf>
    <xf numFmtId="0" fontId="6" fillId="0" borderId="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6" fillId="0" borderId="0" xfId="0" applyFont="1" applyFill="1"/>
    <xf numFmtId="0" fontId="7" fillId="0" borderId="0" xfId="0" applyFont="1" applyFill="1" applyAlignment="1">
      <alignment horizontal="center" vertical="center"/>
    </xf>
    <xf numFmtId="0" fontId="11" fillId="0" borderId="10" xfId="0" applyFont="1" applyFill="1" applyBorder="1" applyAlignment="1">
      <alignment vertical="center"/>
    </xf>
    <xf numFmtId="0" fontId="11" fillId="0" borderId="0" xfId="0" applyFont="1" applyFill="1" applyAlignment="1">
      <alignment vertical="center" wrapText="1"/>
    </xf>
    <xf numFmtId="0" fontId="9" fillId="0" borderId="0" xfId="0" applyFont="1" applyFill="1" applyAlignment="1">
      <alignment horizontal="center" vertical="center" wrapText="1"/>
    </xf>
    <xf numFmtId="0" fontId="9" fillId="0" borderId="11" xfId="0" applyFont="1" applyFill="1" applyBorder="1" applyAlignment="1">
      <alignment horizontal="center" vertical="center" wrapText="1"/>
    </xf>
    <xf numFmtId="0" fontId="5" fillId="0" borderId="2" xfId="0" applyFont="1" applyFill="1" applyBorder="1" applyAlignment="1">
      <alignment horizontal="center" vertical="center"/>
    </xf>
    <xf numFmtId="4" fontId="6" fillId="0" borderId="2" xfId="0" applyNumberFormat="1" applyFont="1" applyFill="1" applyBorder="1" applyAlignment="1">
      <alignment horizontal="center" vertical="center" wrapText="1"/>
    </xf>
    <xf numFmtId="0" fontId="5" fillId="0" borderId="4" xfId="0" applyFont="1" applyFill="1" applyBorder="1" applyAlignment="1">
      <alignment horizontal="left" vertical="center" wrapText="1"/>
    </xf>
    <xf numFmtId="4" fontId="6" fillId="0" borderId="12" xfId="0" applyNumberFormat="1" applyFont="1" applyFill="1" applyBorder="1" applyAlignment="1">
      <alignment horizontal="center" vertical="center" wrapText="1"/>
    </xf>
    <xf numFmtId="4" fontId="9" fillId="0" borderId="13" xfId="0" applyNumberFormat="1" applyFont="1" applyFill="1" applyBorder="1" applyAlignment="1">
      <alignment horizontal="center" vertical="center" wrapText="1"/>
    </xf>
    <xf numFmtId="4" fontId="6" fillId="0" borderId="13" xfId="0" applyNumberFormat="1" applyFont="1" applyFill="1" applyBorder="1" applyAlignment="1">
      <alignment horizontal="center" vertical="center" wrapText="1"/>
    </xf>
    <xf numFmtId="4" fontId="6" fillId="0" borderId="14" xfId="0" applyNumberFormat="1" applyFont="1" applyFill="1" applyBorder="1" applyAlignment="1">
      <alignment horizontal="center" vertical="center" wrapText="1"/>
    </xf>
    <xf numFmtId="4" fontId="5" fillId="0" borderId="13"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0" xfId="0" applyFont="1" applyFill="1"/>
    <xf numFmtId="4" fontId="6" fillId="0" borderId="15"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4" fontId="5" fillId="0" borderId="16" xfId="0" applyNumberFormat="1" applyFont="1" applyFill="1" applyBorder="1" applyAlignment="1">
      <alignment horizontal="center" vertical="center" wrapText="1"/>
    </xf>
    <xf numFmtId="1" fontId="6" fillId="0" borderId="5" xfId="0" applyNumberFormat="1"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3" xfId="0" applyFont="1" applyFill="1" applyBorder="1" applyAlignment="1">
      <alignment vertical="center" wrapText="1"/>
    </xf>
    <xf numFmtId="1" fontId="6" fillId="0" borderId="8" xfId="0" applyNumberFormat="1" applyFont="1" applyFill="1" applyBorder="1" applyAlignment="1">
      <alignment horizontal="center" vertical="center" wrapText="1"/>
    </xf>
    <xf numFmtId="4" fontId="9"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17" xfId="0" applyFont="1" applyFill="1" applyBorder="1" applyAlignment="1">
      <alignment horizontal="left" vertical="center" wrapText="1"/>
    </xf>
    <xf numFmtId="4" fontId="9" fillId="0" borderId="2" xfId="0" applyNumberFormat="1" applyFont="1" applyFill="1" applyBorder="1" applyAlignment="1">
      <alignment horizontal="center" vertical="center"/>
    </xf>
    <xf numFmtId="0" fontId="6" fillId="0" borderId="9" xfId="0" applyFont="1" applyFill="1" applyBorder="1" applyAlignment="1">
      <alignment horizontal="center" vertical="center"/>
    </xf>
    <xf numFmtId="4" fontId="5" fillId="0" borderId="15" xfId="0" applyNumberFormat="1" applyFont="1" applyFill="1" applyBorder="1" applyAlignment="1">
      <alignment horizontal="center" vertical="center" wrapText="1"/>
    </xf>
    <xf numFmtId="4" fontId="13" fillId="0" borderId="16" xfId="0" applyNumberFormat="1" applyFont="1" applyFill="1" applyBorder="1" applyAlignment="1">
      <alignment horizontal="center" vertical="center" wrapText="1"/>
    </xf>
    <xf numFmtId="4" fontId="11" fillId="0" borderId="16" xfId="0" applyNumberFormat="1" applyFont="1" applyFill="1" applyBorder="1" applyAlignment="1">
      <alignment horizontal="center" vertical="center" wrapText="1"/>
    </xf>
    <xf numFmtId="0" fontId="14" fillId="0" borderId="0" xfId="0" applyFont="1" applyFill="1"/>
    <xf numFmtId="4" fontId="6" fillId="0" borderId="3" xfId="0" applyNumberFormat="1" applyFont="1" applyFill="1" applyBorder="1" applyAlignment="1">
      <alignment horizontal="center" vertical="center"/>
    </xf>
    <xf numFmtId="0" fontId="6" fillId="0" borderId="3" xfId="0" applyFont="1" applyFill="1" applyBorder="1" applyAlignment="1">
      <alignment horizontal="center" vertical="center" wrapText="1"/>
    </xf>
    <xf numFmtId="0" fontId="5" fillId="0" borderId="0" xfId="0" applyFont="1" applyFill="1"/>
    <xf numFmtId="4" fontId="5" fillId="0" borderId="0" xfId="0" applyNumberFormat="1" applyFont="1" applyFill="1"/>
    <xf numFmtId="4" fontId="11" fillId="0" borderId="18" xfId="0" applyNumberFormat="1" applyFont="1" applyFill="1" applyBorder="1" applyAlignment="1">
      <alignment horizontal="center" vertical="center" wrapText="1"/>
    </xf>
    <xf numFmtId="4" fontId="11" fillId="0" borderId="19" xfId="0" applyNumberFormat="1" applyFont="1" applyFill="1" applyBorder="1" applyAlignment="1">
      <alignment horizontal="center" vertical="center" wrapText="1"/>
    </xf>
    <xf numFmtId="4" fontId="11" fillId="0" borderId="20" xfId="0" applyNumberFormat="1" applyFont="1" applyFill="1" applyBorder="1" applyAlignment="1">
      <alignment horizontal="center" vertical="center" wrapText="1"/>
    </xf>
    <xf numFmtId="0" fontId="11" fillId="0" borderId="20" xfId="0" applyFont="1" applyFill="1" applyBorder="1" applyAlignment="1">
      <alignment vertical="center" wrapText="1"/>
    </xf>
    <xf numFmtId="0" fontId="11" fillId="0" borderId="5" xfId="0" applyFont="1" applyFill="1" applyBorder="1" applyAlignment="1">
      <alignment horizontal="center" vertical="center" wrapText="1"/>
    </xf>
    <xf numFmtId="0" fontId="11" fillId="0" borderId="2" xfId="0" applyFont="1" applyFill="1" applyBorder="1" applyAlignment="1">
      <alignment horizontal="center" vertical="center" wrapText="1"/>
    </xf>
    <xf numFmtId="4" fontId="11" fillId="0" borderId="0" xfId="0" applyNumberFormat="1" applyFont="1" applyFill="1" applyAlignment="1">
      <alignment vertical="center" wrapText="1"/>
    </xf>
    <xf numFmtId="0" fontId="11" fillId="0" borderId="2" xfId="0" applyFont="1" applyFill="1" applyBorder="1" applyAlignment="1">
      <alignment vertical="center"/>
    </xf>
    <xf numFmtId="0" fontId="11" fillId="0" borderId="2" xfId="0" applyFont="1" applyFill="1" applyBorder="1" applyAlignment="1">
      <alignment horizontal="right" vertical="center" wrapText="1"/>
    </xf>
    <xf numFmtId="4" fontId="11" fillId="0" borderId="3" xfId="0" applyNumberFormat="1" applyFont="1" applyFill="1" applyBorder="1" applyAlignment="1">
      <alignment horizontal="center" vertical="center" wrapText="1"/>
    </xf>
    <xf numFmtId="0" fontId="11" fillId="0" borderId="3" xfId="0" applyFont="1" applyFill="1" applyBorder="1" applyAlignment="1">
      <alignment vertical="center" wrapText="1"/>
    </xf>
    <xf numFmtId="0" fontId="5" fillId="0" borderId="34" xfId="0" applyFont="1" applyFill="1" applyBorder="1" applyAlignment="1">
      <alignment horizontal="center" vertical="center"/>
    </xf>
    <xf numFmtId="0" fontId="5" fillId="0" borderId="34" xfId="0" applyFont="1" applyFill="1" applyBorder="1" applyAlignment="1">
      <alignment horizontal="center" vertical="center" wrapText="1"/>
    </xf>
    <xf numFmtId="0" fontId="5" fillId="0" borderId="34" xfId="0" applyFont="1" applyFill="1" applyBorder="1" applyAlignment="1">
      <alignment horizontal="left" vertical="center" wrapText="1"/>
    </xf>
    <xf numFmtId="0" fontId="5" fillId="0" borderId="34" xfId="0" applyFont="1" applyFill="1" applyBorder="1" applyAlignment="1">
      <alignment horizontal="left" vertical="center"/>
    </xf>
    <xf numFmtId="0" fontId="6" fillId="0" borderId="34" xfId="0" applyFont="1" applyFill="1" applyBorder="1" applyAlignment="1">
      <alignment horizontal="center" vertical="center"/>
    </xf>
    <xf numFmtId="0" fontId="5" fillId="0" borderId="10" xfId="0" applyFont="1" applyFill="1" applyBorder="1" applyAlignment="1">
      <alignment horizontal="left" vertical="center" wrapText="1"/>
    </xf>
    <xf numFmtId="4" fontId="5" fillId="0" borderId="12" xfId="0" applyNumberFormat="1" applyFont="1" applyFill="1" applyBorder="1" applyAlignment="1">
      <alignment horizontal="center" vertical="center"/>
    </xf>
    <xf numFmtId="4" fontId="11" fillId="0" borderId="21" xfId="0" applyNumberFormat="1" applyFont="1" applyFill="1" applyBorder="1" applyAlignment="1">
      <alignment horizontal="center" vertical="center"/>
    </xf>
    <xf numFmtId="4" fontId="5" fillId="0" borderId="21" xfId="0" applyNumberFormat="1" applyFont="1" applyFill="1" applyBorder="1" applyAlignment="1">
      <alignment horizontal="center" vertical="center"/>
    </xf>
    <xf numFmtId="4" fontId="5" fillId="0" borderId="22"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5" fillId="0" borderId="3" xfId="0" applyFont="1" applyFill="1" applyBorder="1" applyAlignment="1">
      <alignment horizontal="left" vertical="center"/>
    </xf>
    <xf numFmtId="4" fontId="11" fillId="0" borderId="3" xfId="0" applyNumberFormat="1" applyFont="1" applyFill="1" applyBorder="1" applyAlignment="1">
      <alignment horizontal="center" vertical="center"/>
    </xf>
    <xf numFmtId="4" fontId="5" fillId="0" borderId="3" xfId="0" applyNumberFormat="1" applyFont="1" applyFill="1" applyBorder="1" applyAlignment="1">
      <alignment horizontal="center" vertical="center"/>
    </xf>
    <xf numFmtId="4" fontId="5" fillId="0" borderId="23" xfId="0" applyNumberFormat="1" applyFont="1" applyFill="1" applyBorder="1" applyAlignment="1">
      <alignment horizontal="center" vertical="center"/>
    </xf>
    <xf numFmtId="0" fontId="5" fillId="0" borderId="2" xfId="0" applyFont="1" applyFill="1" applyBorder="1" applyAlignment="1">
      <alignment horizontal="left" vertical="center"/>
    </xf>
    <xf numFmtId="4" fontId="5" fillId="0" borderId="24" xfId="0" applyNumberFormat="1" applyFont="1" applyFill="1" applyBorder="1" applyAlignment="1">
      <alignment horizontal="center" vertical="center"/>
    </xf>
    <xf numFmtId="4" fontId="11" fillId="0" borderId="25" xfId="0" applyNumberFormat="1" applyFont="1" applyFill="1" applyBorder="1" applyAlignment="1">
      <alignment horizontal="center" vertical="center"/>
    </xf>
    <xf numFmtId="4" fontId="5" fillId="0" borderId="25" xfId="0" applyNumberFormat="1" applyFont="1" applyFill="1" applyBorder="1" applyAlignment="1">
      <alignment horizontal="center" vertical="center"/>
    </xf>
    <xf numFmtId="4" fontId="5" fillId="0" borderId="26" xfId="0" applyNumberFormat="1" applyFont="1" applyFill="1" applyBorder="1" applyAlignment="1">
      <alignment horizontal="center" vertical="center"/>
    </xf>
    <xf numFmtId="4" fontId="11" fillId="0" borderId="7"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7" fillId="0" borderId="0" xfId="0" applyFont="1" applyFill="1" applyAlignment="1">
      <alignment horizontal="center"/>
    </xf>
    <xf numFmtId="0" fontId="9" fillId="0" borderId="2" xfId="0" applyFont="1" applyFill="1" applyBorder="1" applyAlignment="1">
      <alignment horizontal="center" vertical="center"/>
    </xf>
    <xf numFmtId="0" fontId="5" fillId="0" borderId="16" xfId="0" applyFont="1" applyFill="1" applyBorder="1" applyAlignment="1">
      <alignment horizontal="left" vertical="center" wrapText="1"/>
    </xf>
    <xf numFmtId="4" fontId="11" fillId="0" borderId="13" xfId="0" applyNumberFormat="1" applyFont="1" applyFill="1" applyBorder="1" applyAlignment="1">
      <alignment horizontal="center" vertical="center"/>
    </xf>
    <xf numFmtId="4" fontId="5" fillId="0" borderId="13" xfId="0" applyNumberFormat="1" applyFont="1" applyFill="1" applyBorder="1" applyAlignment="1">
      <alignment horizontal="center" vertical="center"/>
    </xf>
    <xf numFmtId="4" fontId="5" fillId="0" borderId="14" xfId="0" applyNumberFormat="1" applyFont="1" applyFill="1" applyBorder="1" applyAlignment="1">
      <alignment horizontal="center" vertical="center"/>
    </xf>
    <xf numFmtId="4" fontId="11" fillId="0" borderId="12" xfId="0" applyNumberFormat="1" applyFont="1" applyFill="1" applyBorder="1" applyAlignment="1">
      <alignment horizontal="center" vertical="center"/>
    </xf>
    <xf numFmtId="4" fontId="11" fillId="0" borderId="14" xfId="0" applyNumberFormat="1" applyFont="1" applyFill="1" applyBorder="1" applyAlignment="1">
      <alignment horizontal="center" vertical="center"/>
    </xf>
    <xf numFmtId="0" fontId="6" fillId="0" borderId="15" xfId="0" applyFont="1" applyFill="1" applyBorder="1" applyAlignment="1">
      <alignment horizontal="center" vertical="center"/>
    </xf>
    <xf numFmtId="4" fontId="11" fillId="0" borderId="15" xfId="0" applyNumberFormat="1" applyFont="1" applyFill="1" applyBorder="1" applyAlignment="1">
      <alignment horizontal="center" vertical="center"/>
    </xf>
    <xf numFmtId="4" fontId="11" fillId="0" borderId="16" xfId="0" applyNumberFormat="1" applyFont="1" applyFill="1" applyBorder="1" applyAlignment="1">
      <alignment horizontal="center" vertical="center"/>
    </xf>
    <xf numFmtId="0" fontId="5" fillId="0" borderId="3" xfId="0" applyFont="1" applyFill="1" applyBorder="1" applyAlignment="1">
      <alignment horizontal="left"/>
    </xf>
    <xf numFmtId="0" fontId="9" fillId="0" borderId="3" xfId="0" applyFont="1" applyFill="1" applyBorder="1" applyAlignment="1">
      <alignment horizontal="center" vertical="center"/>
    </xf>
    <xf numFmtId="4" fontId="11" fillId="0" borderId="24" xfId="0" applyNumberFormat="1" applyFont="1" applyFill="1" applyBorder="1" applyAlignment="1">
      <alignment horizontal="center" vertical="center"/>
    </xf>
    <xf numFmtId="4" fontId="11" fillId="0" borderId="26" xfId="0" applyNumberFormat="1" applyFont="1" applyFill="1" applyBorder="1" applyAlignment="1">
      <alignment horizontal="center" vertical="center"/>
    </xf>
    <xf numFmtId="0" fontId="1" fillId="0" borderId="0" xfId="0" applyFont="1" applyFill="1"/>
    <xf numFmtId="0" fontId="2" fillId="0" borderId="2" xfId="0" applyFont="1" applyFill="1" applyBorder="1" applyAlignment="1">
      <alignment horizontal="center" vertical="center"/>
    </xf>
    <xf numFmtId="0" fontId="7"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164" fontId="2" fillId="0" borderId="12" xfId="0" applyNumberFormat="1" applyFont="1" applyFill="1" applyBorder="1" applyAlignment="1">
      <alignment horizontal="center" vertical="center"/>
    </xf>
    <xf numFmtId="164" fontId="14" fillId="0" borderId="13" xfId="0" applyNumberFormat="1" applyFont="1" applyFill="1" applyBorder="1" applyAlignment="1">
      <alignment horizontal="center" vertical="center"/>
    </xf>
    <xf numFmtId="164" fontId="2" fillId="0" borderId="13" xfId="0" applyNumberFormat="1" applyFont="1" applyFill="1" applyBorder="1" applyAlignment="1">
      <alignment horizontal="center" vertical="center"/>
    </xf>
    <xf numFmtId="164" fontId="2" fillId="0" borderId="14" xfId="0" applyNumberFormat="1" applyFont="1" applyFill="1" applyBorder="1" applyAlignment="1">
      <alignment horizontal="center" vertical="center"/>
    </xf>
    <xf numFmtId="0" fontId="2" fillId="0" borderId="5" xfId="0" applyFont="1" applyFill="1" applyBorder="1" applyAlignment="1">
      <alignment horizontal="center" vertical="center" wrapText="1"/>
    </xf>
    <xf numFmtId="0" fontId="0" fillId="0" borderId="2" xfId="0" applyFont="1" applyFill="1" applyBorder="1"/>
    <xf numFmtId="0" fontId="7" fillId="0" borderId="4" xfId="0" applyFont="1" applyFill="1" applyBorder="1" applyAlignment="1">
      <alignment horizontal="left" vertical="center" wrapText="1"/>
    </xf>
    <xf numFmtId="164" fontId="2" fillId="0" borderId="15" xfId="0" applyNumberFormat="1" applyFont="1" applyFill="1" applyBorder="1" applyAlignment="1">
      <alignment horizontal="center" vertical="center"/>
    </xf>
    <xf numFmtId="164" fontId="14" fillId="0" borderId="2"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xf>
    <xf numFmtId="164" fontId="2" fillId="0" borderId="16" xfId="0" applyNumberFormat="1" applyFont="1" applyFill="1" applyBorder="1" applyAlignment="1">
      <alignment horizontal="center" vertical="center"/>
    </xf>
    <xf numFmtId="164" fontId="14" fillId="0" borderId="2" xfId="0" applyNumberFormat="1" applyFont="1" applyFill="1" applyBorder="1" applyAlignment="1">
      <alignment horizontal="center" vertical="center"/>
    </xf>
    <xf numFmtId="0" fontId="16" fillId="0" borderId="2" xfId="0" applyFont="1" applyFill="1" applyBorder="1" applyAlignment="1">
      <alignment horizontal="center"/>
    </xf>
    <xf numFmtId="164" fontId="11" fillId="0" borderId="25" xfId="0" applyNumberFormat="1" applyFont="1" applyFill="1" applyBorder="1" applyAlignment="1">
      <alignment horizontal="center" vertical="center"/>
    </xf>
    <xf numFmtId="164" fontId="11" fillId="0" borderId="26" xfId="0" applyNumberFormat="1" applyFont="1" applyFill="1" applyBorder="1" applyAlignment="1">
      <alignment horizontal="center" vertical="center"/>
    </xf>
    <xf numFmtId="164" fontId="11" fillId="0" borderId="24" xfId="0" applyNumberFormat="1" applyFont="1" applyFill="1" applyBorder="1" applyAlignment="1">
      <alignment horizontal="center" vertical="center"/>
    </xf>
    <xf numFmtId="164" fontId="11" fillId="0" borderId="25" xfId="0" applyNumberFormat="1" applyFont="1" applyFill="1" applyBorder="1" applyAlignment="1">
      <alignment horizontal="center"/>
    </xf>
    <xf numFmtId="164" fontId="11" fillId="0" borderId="26" xfId="0" applyNumberFormat="1" applyFont="1" applyFill="1" applyBorder="1" applyAlignment="1">
      <alignment horizontal="center"/>
    </xf>
    <xf numFmtId="0" fontId="16" fillId="0" borderId="5"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0" xfId="0" applyFont="1" applyFill="1"/>
    <xf numFmtId="0" fontId="9" fillId="0" borderId="0" xfId="0" applyFont="1" applyFill="1" applyAlignment="1">
      <alignment horizontal="center" vertical="center"/>
    </xf>
    <xf numFmtId="0" fontId="0" fillId="0" borderId="0" xfId="0" applyFill="1" applyAlignment="1">
      <alignment horizontal="center" vertical="center"/>
    </xf>
    <xf numFmtId="0" fontId="9" fillId="0" borderId="0" xfId="0" applyFont="1" applyFill="1" applyAlignment="1">
      <alignment horizontal="right" vertical="center"/>
    </xf>
    <xf numFmtId="4" fontId="11" fillId="0" borderId="0" xfId="0" applyNumberFormat="1" applyFont="1" applyFill="1" applyAlignment="1">
      <alignment horizontal="center" vertical="center" wrapText="1"/>
    </xf>
    <xf numFmtId="0" fontId="11" fillId="0" borderId="0" xfId="0" applyFont="1" applyFill="1"/>
    <xf numFmtId="0" fontId="10" fillId="0" borderId="2" xfId="0" applyFont="1" applyFill="1" applyBorder="1" applyAlignment="1">
      <alignment horizontal="center" vertical="center" wrapText="1"/>
    </xf>
    <xf numFmtId="0" fontId="10" fillId="0" borderId="2" xfId="0" applyFont="1" applyFill="1" applyBorder="1" applyAlignment="1">
      <alignment horizontal="center" wrapText="1"/>
    </xf>
    <xf numFmtId="0" fontId="9" fillId="0" borderId="4" xfId="0" applyFont="1" applyFill="1" applyBorder="1" applyAlignment="1">
      <alignment horizontal="center" vertical="center" wrapText="1"/>
    </xf>
    <xf numFmtId="0" fontId="11" fillId="0" borderId="4" xfId="0" applyFont="1" applyFill="1" applyBorder="1" applyAlignment="1">
      <alignment vertical="center"/>
    </xf>
    <xf numFmtId="0" fontId="9" fillId="0" borderId="6" xfId="0" applyFont="1" applyFill="1" applyBorder="1" applyAlignment="1">
      <alignment vertical="center" wrapText="1"/>
    </xf>
    <xf numFmtId="0" fontId="17" fillId="0" borderId="6" xfId="0" applyFont="1" applyFill="1" applyBorder="1" applyAlignment="1">
      <alignment horizontal="left" vertical="center"/>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6" fillId="0" borderId="28" xfId="0" applyFont="1" applyFill="1" applyBorder="1" applyAlignment="1">
      <alignment horizontal="left" vertical="center" wrapText="1"/>
    </xf>
    <xf numFmtId="4" fontId="6" fillId="0" borderId="7" xfId="0" applyNumberFormat="1" applyFont="1" applyFill="1" applyBorder="1" applyAlignment="1">
      <alignment horizontal="center" vertical="center" wrapText="1"/>
    </xf>
    <xf numFmtId="2" fontId="6" fillId="0" borderId="29" xfId="0" applyNumberFormat="1" applyFont="1" applyFill="1" applyBorder="1" applyAlignment="1">
      <alignment horizontal="center" vertical="center" wrapText="1"/>
    </xf>
    <xf numFmtId="2" fontId="6" fillId="0" borderId="7" xfId="0" applyNumberFormat="1" applyFont="1" applyFill="1" applyBorder="1" applyAlignment="1">
      <alignment horizontal="center" vertical="center"/>
    </xf>
    <xf numFmtId="2" fontId="6" fillId="0" borderId="30" xfId="0" applyNumberFormat="1" applyFont="1" applyFill="1" applyBorder="1" applyAlignment="1">
      <alignment horizontal="center" vertical="center"/>
    </xf>
    <xf numFmtId="0" fontId="6" fillId="0" borderId="3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4" xfId="0" applyFont="1" applyFill="1" applyBorder="1" applyAlignment="1">
      <alignment horizontal="left" vertical="center" wrapText="1"/>
    </xf>
    <xf numFmtId="2" fontId="6" fillId="0" borderId="15" xfId="0" applyNumberFormat="1" applyFont="1" applyFill="1" applyBorder="1" applyAlignment="1">
      <alignment horizontal="center" vertical="center" wrapText="1"/>
    </xf>
    <xf numFmtId="2" fontId="6" fillId="0" borderId="2" xfId="0" applyNumberFormat="1" applyFont="1" applyFill="1" applyBorder="1" applyAlignment="1">
      <alignment horizontal="center" vertical="center"/>
    </xf>
    <xf numFmtId="2" fontId="6" fillId="0" borderId="16" xfId="0" applyNumberFormat="1" applyFont="1" applyFill="1" applyBorder="1" applyAlignment="1">
      <alignment horizontal="center" vertical="center"/>
    </xf>
    <xf numFmtId="2" fontId="9" fillId="0" borderId="2" xfId="0" applyNumberFormat="1" applyFont="1" applyFill="1" applyBorder="1" applyAlignment="1">
      <alignment vertical="center" wrapText="1"/>
    </xf>
    <xf numFmtId="2" fontId="9" fillId="0" borderId="2" xfId="0" applyNumberFormat="1" applyFont="1" applyFill="1" applyBorder="1" applyAlignment="1">
      <alignment vertical="center"/>
    </xf>
    <xf numFmtId="0" fontId="6" fillId="0" borderId="3" xfId="0" applyFont="1" applyFill="1" applyBorder="1" applyAlignment="1">
      <alignment horizontal="left" vertical="center" wrapText="1"/>
    </xf>
    <xf numFmtId="0" fontId="20" fillId="0" borderId="0" xfId="0" applyFont="1" applyFill="1"/>
    <xf numFmtId="4" fontId="6" fillId="0" borderId="3" xfId="0" applyNumberFormat="1" applyFont="1" applyFill="1" applyBorder="1" applyAlignment="1">
      <alignment horizontal="center" vertical="center" wrapText="1"/>
    </xf>
    <xf numFmtId="0" fontId="6" fillId="0" borderId="17" xfId="0" applyFont="1" applyFill="1" applyBorder="1" applyAlignment="1">
      <alignment horizontal="left" vertical="center" wrapText="1"/>
    </xf>
    <xf numFmtId="2" fontId="6" fillId="0" borderId="24" xfId="0" applyNumberFormat="1" applyFont="1" applyFill="1" applyBorder="1" applyAlignment="1">
      <alignment horizontal="center" vertical="center" wrapText="1"/>
    </xf>
    <xf numFmtId="2" fontId="9" fillId="0" borderId="25" xfId="0" applyNumberFormat="1" applyFont="1" applyFill="1" applyBorder="1" applyAlignment="1">
      <alignment horizontal="center" vertical="center"/>
    </xf>
    <xf numFmtId="2" fontId="6" fillId="0" borderId="25" xfId="0" applyNumberFormat="1" applyFont="1" applyFill="1" applyBorder="1" applyAlignment="1">
      <alignment horizontal="center" vertical="center"/>
    </xf>
    <xf numFmtId="2" fontId="6" fillId="0" borderId="26" xfId="0" applyNumberFormat="1" applyFont="1" applyFill="1" applyBorder="1" applyAlignment="1">
      <alignment horizontal="center" vertical="center"/>
    </xf>
    <xf numFmtId="2" fontId="11" fillId="0" borderId="7" xfId="0" applyNumberFormat="1" applyFont="1" applyFill="1" applyBorder="1" applyAlignment="1">
      <alignment horizontal="center" vertical="center" wrapText="1"/>
    </xf>
    <xf numFmtId="2" fontId="11" fillId="0" borderId="7" xfId="0" applyNumberFormat="1" applyFont="1" applyFill="1" applyBorder="1" applyAlignment="1">
      <alignment horizontal="center" vertical="center"/>
    </xf>
    <xf numFmtId="0" fontId="21" fillId="0" borderId="0" xfId="0" applyFont="1" applyFill="1" applyAlignment="1">
      <alignment horizontal="center"/>
    </xf>
    <xf numFmtId="0" fontId="18" fillId="0" borderId="0" xfId="0" applyFont="1" applyFill="1" applyAlignment="1">
      <alignment vertical="center"/>
    </xf>
    <xf numFmtId="0" fontId="11" fillId="0" borderId="0" xfId="0" applyFont="1" applyFill="1" applyAlignment="1">
      <alignment horizontal="center" vertical="center" wrapText="1"/>
    </xf>
    <xf numFmtId="0" fontId="11" fillId="0" borderId="11" xfId="0" applyFont="1" applyFill="1" applyBorder="1" applyAlignment="1">
      <alignment horizontal="center" vertical="center" wrapText="1"/>
    </xf>
    <xf numFmtId="0" fontId="20" fillId="0" borderId="2" xfId="0" applyFont="1" applyFill="1" applyBorder="1"/>
    <xf numFmtId="2" fontId="6" fillId="0" borderId="12" xfId="0" applyNumberFormat="1" applyFont="1" applyFill="1" applyBorder="1" applyAlignment="1">
      <alignment horizontal="center" vertical="center" wrapText="1"/>
    </xf>
    <xf numFmtId="2" fontId="9" fillId="0" borderId="13" xfId="0" applyNumberFormat="1" applyFont="1" applyFill="1" applyBorder="1" applyAlignment="1">
      <alignment horizontal="center" vertical="center"/>
    </xf>
    <xf numFmtId="2" fontId="6" fillId="0" borderId="13" xfId="0" applyNumberFormat="1" applyFont="1" applyFill="1" applyBorder="1" applyAlignment="1">
      <alignment horizontal="center" vertical="center"/>
    </xf>
    <xf numFmtId="2" fontId="6" fillId="0" borderId="14" xfId="0" applyNumberFormat="1" applyFont="1" applyFill="1" applyBorder="1" applyAlignment="1">
      <alignment horizontal="center" vertical="center"/>
    </xf>
    <xf numFmtId="4" fontId="6" fillId="0" borderId="12" xfId="0" applyNumberFormat="1" applyFont="1" applyFill="1" applyBorder="1" applyAlignment="1">
      <alignment horizontal="center" vertical="center"/>
    </xf>
    <xf numFmtId="4" fontId="9" fillId="0" borderId="13" xfId="0" applyNumberFormat="1" applyFont="1" applyFill="1" applyBorder="1" applyAlignment="1">
      <alignment horizontal="center" vertical="center"/>
    </xf>
    <xf numFmtId="4" fontId="9" fillId="0" borderId="14" xfId="0" applyNumberFormat="1" applyFont="1" applyFill="1" applyBorder="1" applyAlignment="1">
      <alignment horizontal="center" vertical="center"/>
    </xf>
    <xf numFmtId="4" fontId="9" fillId="0" borderId="21" xfId="0" applyNumberFormat="1" applyFont="1" applyFill="1" applyBorder="1" applyAlignment="1">
      <alignment horizontal="center" vertical="center" wrapText="1"/>
    </xf>
    <xf numFmtId="4" fontId="9" fillId="0" borderId="13" xfId="0" applyNumberFormat="1" applyFont="1" applyFill="1" applyBorder="1"/>
    <xf numFmtId="4" fontId="9" fillId="0" borderId="14" xfId="0" applyNumberFormat="1" applyFont="1" applyFill="1" applyBorder="1"/>
    <xf numFmtId="4" fontId="9" fillId="0" borderId="16" xfId="0" applyNumberFormat="1" applyFont="1" applyFill="1" applyBorder="1" applyAlignment="1">
      <alignment horizontal="center" vertical="center"/>
    </xf>
    <xf numFmtId="4" fontId="9" fillId="0" borderId="2" xfId="0" applyNumberFormat="1" applyFont="1" applyFill="1" applyBorder="1"/>
    <xf numFmtId="4" fontId="9" fillId="0" borderId="16" xfId="0" applyNumberFormat="1" applyFont="1" applyFill="1" applyBorder="1"/>
    <xf numFmtId="4" fontId="9" fillId="0" borderId="15" xfId="0" applyNumberFormat="1" applyFont="1" applyFill="1" applyBorder="1" applyAlignment="1">
      <alignment horizontal="center" vertical="center"/>
    </xf>
    <xf numFmtId="4" fontId="6" fillId="0" borderId="2" xfId="0" applyNumberFormat="1" applyFont="1" applyFill="1" applyBorder="1"/>
    <xf numFmtId="0" fontId="20" fillId="0" borderId="3" xfId="0" applyFont="1" applyFill="1" applyBorder="1"/>
    <xf numFmtId="4" fontId="9" fillId="0" borderId="25" xfId="0" applyNumberFormat="1" applyFont="1" applyFill="1" applyBorder="1" applyAlignment="1">
      <alignment horizontal="center" vertical="center"/>
    </xf>
    <xf numFmtId="4" fontId="9" fillId="0" borderId="26" xfId="0" applyNumberFormat="1" applyFont="1" applyFill="1" applyBorder="1" applyAlignment="1">
      <alignment horizontal="center" vertical="center"/>
    </xf>
    <xf numFmtId="4" fontId="9" fillId="0" borderId="24" xfId="0" applyNumberFormat="1" applyFont="1" applyFill="1" applyBorder="1" applyAlignment="1">
      <alignment horizontal="center" vertical="center"/>
    </xf>
    <xf numFmtId="4" fontId="6" fillId="0" borderId="25" xfId="0" applyNumberFormat="1" applyFont="1" applyFill="1" applyBorder="1"/>
    <xf numFmtId="4" fontId="9" fillId="0" borderId="25" xfId="0" applyNumberFormat="1" applyFont="1" applyFill="1" applyBorder="1"/>
    <xf numFmtId="4" fontId="9" fillId="0" borderId="26" xfId="0" applyNumberFormat="1" applyFont="1" applyFill="1" applyBorder="1"/>
    <xf numFmtId="164" fontId="11" fillId="0" borderId="7" xfId="0" applyNumberFormat="1" applyFont="1" applyFill="1" applyBorder="1" applyAlignment="1">
      <alignment horizontal="center" vertical="center"/>
    </xf>
    <xf numFmtId="0" fontId="20" fillId="0" borderId="0" xfId="0" applyFont="1" applyFill="1" applyAlignment="1">
      <alignment horizontal="center"/>
    </xf>
    <xf numFmtId="0" fontId="9" fillId="0" borderId="0" xfId="0" applyFont="1" applyFill="1" applyAlignment="1">
      <alignment vertical="center" wrapText="1"/>
    </xf>
    <xf numFmtId="0" fontId="17" fillId="0" borderId="0" xfId="0" applyFont="1" applyFill="1" applyAlignment="1">
      <alignment vertical="center"/>
    </xf>
    <xf numFmtId="2" fontId="6" fillId="0" borderId="12" xfId="0" applyNumberFormat="1" applyFont="1" applyFill="1" applyBorder="1" applyAlignment="1">
      <alignment horizontal="center" vertical="center"/>
    </xf>
    <xf numFmtId="2" fontId="6" fillId="0" borderId="18" xfId="0" applyNumberFormat="1" applyFont="1" applyFill="1" applyBorder="1" applyAlignment="1">
      <alignment horizontal="center" vertical="center" wrapText="1"/>
    </xf>
    <xf numFmtId="2" fontId="9" fillId="0" borderId="25" xfId="0" applyNumberFormat="1" applyFont="1" applyFill="1" applyBorder="1" applyAlignment="1">
      <alignment horizontal="center" vertical="center" wrapText="1"/>
    </xf>
    <xf numFmtId="2" fontId="6" fillId="0" borderId="24" xfId="0" applyNumberFormat="1" applyFont="1" applyFill="1" applyBorder="1" applyAlignment="1">
      <alignment horizontal="center" vertical="center"/>
    </xf>
    <xf numFmtId="0" fontId="9" fillId="0" borderId="10" xfId="0" applyFont="1" applyFill="1" applyBorder="1" applyAlignment="1">
      <alignment horizontal="center" vertical="center" wrapText="1"/>
    </xf>
    <xf numFmtId="2" fontId="6" fillId="0" borderId="2"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wrapText="1"/>
    </xf>
    <xf numFmtId="2" fontId="9" fillId="0" borderId="13" xfId="0" applyNumberFormat="1" applyFont="1" applyFill="1" applyBorder="1" applyAlignment="1">
      <alignment horizontal="center" vertical="center" wrapText="1"/>
    </xf>
    <xf numFmtId="2" fontId="11" fillId="0" borderId="13" xfId="0" applyNumberFormat="1" applyFont="1" applyFill="1" applyBorder="1" applyAlignment="1">
      <alignment horizontal="center" vertical="center"/>
    </xf>
    <xf numFmtId="1" fontId="6" fillId="0" borderId="15" xfId="0" applyNumberFormat="1" applyFont="1" applyFill="1" applyBorder="1" applyAlignment="1">
      <alignment horizontal="center" vertical="center" wrapText="1"/>
    </xf>
    <xf numFmtId="0" fontId="6" fillId="0" borderId="4" xfId="0" applyFont="1" applyFill="1" applyBorder="1" applyAlignment="1">
      <alignment vertical="center" wrapText="1"/>
    </xf>
    <xf numFmtId="0" fontId="6" fillId="0" borderId="17" xfId="0" applyFont="1" applyFill="1" applyBorder="1" applyAlignment="1">
      <alignment vertical="center" wrapText="1"/>
    </xf>
    <xf numFmtId="1" fontId="5" fillId="0" borderId="3" xfId="0" applyNumberFormat="1" applyFont="1" applyFill="1" applyBorder="1" applyAlignment="1">
      <alignment horizontal="center" vertical="center"/>
    </xf>
    <xf numFmtId="0" fontId="11" fillId="0" borderId="27" xfId="0" applyFont="1" applyFill="1" applyBorder="1" applyAlignment="1">
      <alignment horizontal="center" vertical="center" wrapText="1"/>
    </xf>
    <xf numFmtId="0" fontId="20" fillId="0" borderId="2" xfId="0" applyFont="1" applyFill="1" applyBorder="1" applyAlignment="1">
      <alignment horizontal="center"/>
    </xf>
    <xf numFmtId="0" fontId="6" fillId="0" borderId="2" xfId="0" applyFont="1" applyFill="1" applyBorder="1" applyAlignment="1">
      <alignment vertical="center" wrapText="1"/>
    </xf>
    <xf numFmtId="2" fontId="6" fillId="0" borderId="32" xfId="0" applyNumberFormat="1" applyFont="1" applyFill="1" applyBorder="1" applyAlignment="1">
      <alignment horizontal="center" vertical="center"/>
    </xf>
    <xf numFmtId="2" fontId="6" fillId="0" borderId="4" xfId="0" applyNumberFormat="1" applyFont="1" applyFill="1" applyBorder="1" applyAlignment="1">
      <alignment horizontal="center" vertical="center"/>
    </xf>
    <xf numFmtId="0" fontId="6" fillId="0" borderId="3" xfId="0" applyFont="1" applyFill="1" applyBorder="1" applyAlignment="1">
      <alignment vertical="center" wrapText="1"/>
    </xf>
    <xf numFmtId="2" fontId="6" fillId="0" borderId="33" xfId="0" applyNumberFormat="1" applyFont="1" applyFill="1" applyBorder="1" applyAlignment="1">
      <alignment horizontal="center" vertical="center"/>
    </xf>
    <xf numFmtId="0" fontId="11" fillId="0" borderId="31" xfId="0" applyFont="1" applyFill="1" applyBorder="1" applyAlignment="1">
      <alignment horizontal="center" vertical="center"/>
    </xf>
    <xf numFmtId="0" fontId="11" fillId="0" borderId="7" xfId="0" applyFont="1" applyFill="1" applyBorder="1" applyAlignment="1">
      <alignment horizontal="center" vertical="center"/>
    </xf>
    <xf numFmtId="2" fontId="6" fillId="0" borderId="15" xfId="0" applyNumberFormat="1" applyFont="1" applyFill="1" applyBorder="1" applyAlignment="1">
      <alignment horizontal="center" vertical="center"/>
    </xf>
    <xf numFmtId="0" fontId="11" fillId="0" borderId="2" xfId="0" applyFont="1" applyFill="1" applyBorder="1" applyAlignment="1">
      <alignment horizontal="right" vertical="center"/>
    </xf>
    <xf numFmtId="0" fontId="9" fillId="0" borderId="6" xfId="0" applyFont="1" applyFill="1" applyBorder="1" applyAlignment="1">
      <alignment vertical="center"/>
    </xf>
    <xf numFmtId="0" fontId="20" fillId="0" borderId="6" xfId="0" applyFont="1" applyFill="1" applyBorder="1" applyAlignment="1">
      <alignment horizontal="center" vertical="center"/>
    </xf>
    <xf numFmtId="2" fontId="11" fillId="0" borderId="6" xfId="0" applyNumberFormat="1" applyFont="1" applyFill="1" applyBorder="1" applyAlignment="1">
      <alignment vertical="center"/>
    </xf>
    <xf numFmtId="2" fontId="9" fillId="0" borderId="6" xfId="0" applyNumberFormat="1" applyFont="1" applyFill="1" applyBorder="1" applyAlignment="1">
      <alignment vertical="center"/>
    </xf>
    <xf numFmtId="2" fontId="11" fillId="0" borderId="6" xfId="0" applyNumberFormat="1" applyFont="1" applyFill="1" applyBorder="1" applyAlignment="1">
      <alignment horizontal="center" vertical="center"/>
    </xf>
    <xf numFmtId="2" fontId="9" fillId="0" borderId="6" xfId="0" applyNumberFormat="1" applyFont="1" applyFill="1" applyBorder="1" applyAlignment="1">
      <alignment horizontal="center" vertical="center"/>
    </xf>
    <xf numFmtId="2" fontId="6" fillId="0" borderId="6" xfId="0" applyNumberFormat="1" applyFont="1" applyFill="1" applyBorder="1" applyAlignment="1">
      <alignment horizontal="center"/>
    </xf>
    <xf numFmtId="0" fontId="6" fillId="0" borderId="6" xfId="0" applyFont="1" applyFill="1" applyBorder="1" applyAlignment="1">
      <alignment horizontal="center" vertical="center"/>
    </xf>
    <xf numFmtId="0" fontId="5" fillId="0" borderId="2" xfId="1" applyFont="1" applyFill="1" applyBorder="1" applyAlignment="1">
      <alignment horizontal="left" vertical="top" wrapText="1"/>
    </xf>
    <xf numFmtId="0" fontId="9" fillId="0" borderId="2" xfId="0" applyFont="1" applyFill="1" applyBorder="1" applyAlignment="1">
      <alignment horizontal="right"/>
    </xf>
    <xf numFmtId="2" fontId="6" fillId="0" borderId="2" xfId="0" applyNumberFormat="1" applyFont="1" applyFill="1" applyBorder="1" applyAlignment="1">
      <alignment horizontal="center"/>
    </xf>
    <xf numFmtId="0" fontId="5" fillId="0" borderId="2" xfId="0" applyFont="1" applyFill="1" applyBorder="1" applyAlignment="1">
      <alignment horizontal="left" vertical="top" wrapText="1"/>
    </xf>
    <xf numFmtId="0" fontId="5" fillId="0" borderId="2" xfId="1" applyFont="1" applyFill="1" applyBorder="1" applyAlignment="1">
      <alignment horizontal="left" vertical="center" wrapText="1"/>
    </xf>
    <xf numFmtId="0" fontId="5" fillId="0" borderId="0" xfId="0" applyFont="1" applyFill="1" applyAlignment="1">
      <alignment horizontal="left" vertical="top" wrapText="1"/>
    </xf>
    <xf numFmtId="0" fontId="9" fillId="0" borderId="2" xfId="0" applyFont="1" applyFill="1" applyBorder="1" applyAlignment="1">
      <alignment horizontal="center"/>
    </xf>
    <xf numFmtId="0" fontId="9" fillId="0" borderId="0" xfId="0" applyFont="1" applyFill="1" applyBorder="1" applyAlignment="1">
      <alignment horizontal="center"/>
    </xf>
    <xf numFmtId="0" fontId="22" fillId="0" borderId="0" xfId="1" applyFont="1" applyFill="1" applyBorder="1" applyAlignment="1">
      <alignment horizontal="left" vertical="top" wrapText="1"/>
    </xf>
    <xf numFmtId="0" fontId="5" fillId="0" borderId="0" xfId="0" applyFont="1" applyFill="1" applyBorder="1" applyAlignment="1">
      <alignment horizontal="center" vertical="center"/>
    </xf>
    <xf numFmtId="0" fontId="9" fillId="0" borderId="0" xfId="0" applyFont="1" applyFill="1" applyBorder="1" applyAlignment="1">
      <alignment horizontal="right" wrapText="1"/>
    </xf>
    <xf numFmtId="2" fontId="9" fillId="0" borderId="0" xfId="0" applyNumberFormat="1" applyFont="1" applyFill="1" applyBorder="1" applyAlignment="1">
      <alignment horizontal="center" vertical="center"/>
    </xf>
    <xf numFmtId="2" fontId="11"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5" fillId="0" borderId="2" xfId="0" applyFont="1" applyFill="1" applyBorder="1"/>
    <xf numFmtId="2" fontId="5" fillId="0" borderId="12" xfId="0" applyNumberFormat="1" applyFont="1" applyFill="1" applyBorder="1" applyAlignment="1">
      <alignment horizontal="center" vertical="center" wrapText="1"/>
    </xf>
    <xf numFmtId="4" fontId="12" fillId="0" borderId="12" xfId="0" applyNumberFormat="1" applyFont="1" applyFill="1" applyBorder="1" applyAlignment="1">
      <alignment horizontal="center" vertical="center"/>
    </xf>
    <xf numFmtId="4" fontId="15" fillId="0" borderId="13" xfId="0" applyNumberFormat="1" applyFont="1" applyFill="1" applyBorder="1" applyAlignment="1">
      <alignment horizontal="center" vertical="center"/>
    </xf>
    <xf numFmtId="4" fontId="12" fillId="0" borderId="13" xfId="0" applyNumberFormat="1" applyFont="1" applyFill="1" applyBorder="1" applyAlignment="1">
      <alignment horizontal="center" vertical="center"/>
    </xf>
    <xf numFmtId="4" fontId="12" fillId="0" borderId="14" xfId="0" applyNumberFormat="1" applyFont="1" applyFill="1" applyBorder="1" applyAlignment="1">
      <alignment horizontal="center" vertical="center"/>
    </xf>
    <xf numFmtId="4" fontId="12" fillId="0" borderId="32" xfId="0" applyNumberFormat="1" applyFont="1" applyFill="1" applyBorder="1" applyAlignment="1">
      <alignment horizontal="center" vertical="center"/>
    </xf>
    <xf numFmtId="0" fontId="5" fillId="0" borderId="3" xfId="0" applyFont="1" applyFill="1" applyBorder="1"/>
    <xf numFmtId="2" fontId="5" fillId="0" borderId="24" xfId="0" applyNumberFormat="1" applyFont="1" applyFill="1" applyBorder="1" applyAlignment="1">
      <alignment horizontal="center" vertical="center" wrapText="1"/>
    </xf>
    <xf numFmtId="4" fontId="12" fillId="0" borderId="24" xfId="0" applyNumberFormat="1" applyFont="1" applyFill="1" applyBorder="1" applyAlignment="1">
      <alignment horizontal="center" vertical="center"/>
    </xf>
    <xf numFmtId="4" fontId="15" fillId="0" borderId="25" xfId="0" applyNumberFormat="1" applyFont="1" applyFill="1" applyBorder="1" applyAlignment="1">
      <alignment horizontal="center" vertical="center"/>
    </xf>
    <xf numFmtId="4" fontId="12" fillId="0" borderId="25" xfId="0" applyNumberFormat="1" applyFont="1" applyFill="1" applyBorder="1" applyAlignment="1">
      <alignment horizontal="center" vertical="center"/>
    </xf>
    <xf numFmtId="4" fontId="12" fillId="0" borderId="26" xfId="0" applyNumberFormat="1" applyFont="1" applyFill="1" applyBorder="1" applyAlignment="1">
      <alignment horizontal="center" vertical="center"/>
    </xf>
    <xf numFmtId="4" fontId="12" fillId="0" borderId="7" xfId="0" applyNumberFormat="1" applyFont="1" applyFill="1" applyBorder="1" applyAlignment="1">
      <alignment horizontal="center" vertical="center"/>
    </xf>
    <xf numFmtId="4" fontId="15" fillId="0" borderId="7"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right" vertical="center"/>
    </xf>
    <xf numFmtId="0" fontId="16" fillId="0" borderId="0" xfId="0" applyFont="1" applyFill="1" applyBorder="1" applyAlignment="1">
      <alignment horizontal="center" vertical="center"/>
    </xf>
    <xf numFmtId="0" fontId="1" fillId="0" borderId="0" xfId="0" applyFont="1" applyFill="1" applyBorder="1"/>
    <xf numFmtId="0" fontId="0" fillId="0" borderId="0" xfId="0" applyFill="1" applyAlignment="1">
      <alignment horizontal="center"/>
    </xf>
    <xf numFmtId="0" fontId="2" fillId="0" borderId="0" xfId="0" applyFont="1" applyFill="1" applyAlignment="1">
      <alignment horizontal="center" vertical="center"/>
    </xf>
    <xf numFmtId="0" fontId="27" fillId="0" borderId="0" xfId="0" applyFont="1" applyFill="1"/>
    <xf numFmtId="0" fontId="28" fillId="0" borderId="0" xfId="0" applyFont="1" applyFill="1" applyAlignment="1">
      <alignment horizontal="center" vertical="center"/>
    </xf>
    <xf numFmtId="0" fontId="28" fillId="0" borderId="0" xfId="0" applyFont="1" applyFill="1" applyAlignment="1">
      <alignment vertical="center"/>
    </xf>
    <xf numFmtId="0" fontId="29" fillId="0" borderId="0" xfId="0" applyFont="1" applyFill="1"/>
    <xf numFmtId="0" fontId="28" fillId="0" borderId="0" xfId="0" applyFont="1" applyFill="1"/>
    <xf numFmtId="0" fontId="30" fillId="0" borderId="0" xfId="0" applyFont="1" applyFill="1"/>
    <xf numFmtId="0" fontId="31" fillId="0" borderId="0" xfId="0" applyFont="1" applyFill="1" applyAlignment="1">
      <alignment vertical="center" wrapText="1"/>
    </xf>
    <xf numFmtId="0" fontId="32" fillId="0" borderId="0" xfId="0" applyFont="1" applyFill="1"/>
    <xf numFmtId="0" fontId="31" fillId="0" borderId="0" xfId="0" applyFont="1" applyFill="1"/>
    <xf numFmtId="0" fontId="32" fillId="0" borderId="0" xfId="0" applyFont="1" applyFill="1" applyBorder="1"/>
    <xf numFmtId="0" fontId="26" fillId="0" borderId="0" xfId="0" applyFont="1" applyFill="1"/>
    <xf numFmtId="0" fontId="33" fillId="0" borderId="0" xfId="0" applyFont="1" applyFill="1" applyAlignment="1">
      <alignment horizontal="center" vertical="center"/>
    </xf>
    <xf numFmtId="0" fontId="33" fillId="0" borderId="0" xfId="0" applyFont="1" applyFill="1" applyAlignment="1">
      <alignment vertical="center"/>
    </xf>
    <xf numFmtId="0" fontId="34" fillId="0" borderId="0" xfId="0" applyFont="1" applyFill="1"/>
    <xf numFmtId="0" fontId="33" fillId="0" borderId="0" xfId="0" applyFont="1" applyFill="1"/>
    <xf numFmtId="4" fontId="33" fillId="0" borderId="0" xfId="0" applyNumberFormat="1" applyFont="1" applyFill="1"/>
    <xf numFmtId="4" fontId="35" fillId="0" borderId="0" xfId="0" applyNumberFormat="1" applyFont="1" applyFill="1"/>
    <xf numFmtId="4" fontId="36" fillId="0" borderId="0" xfId="0" applyNumberFormat="1" applyFont="1" applyFill="1" applyAlignment="1">
      <alignment vertical="center" wrapText="1"/>
    </xf>
    <xf numFmtId="0" fontId="37" fillId="0" borderId="0" xfId="0" applyFont="1" applyFill="1"/>
    <xf numFmtId="0" fontId="36" fillId="0" borderId="0" xfId="0" applyFont="1" applyFill="1"/>
    <xf numFmtId="0" fontId="37" fillId="0" borderId="0" xfId="0" applyFont="1" applyFill="1" applyBorder="1"/>
    <xf numFmtId="164" fontId="6" fillId="0" borderId="15" xfId="0" applyNumberFormat="1" applyFont="1" applyFill="1" applyBorder="1" applyAlignment="1">
      <alignment horizontal="center" vertical="center"/>
    </xf>
    <xf numFmtId="164" fontId="9" fillId="0" borderId="2" xfId="0" applyNumberFormat="1" applyFont="1" applyFill="1" applyBorder="1" applyAlignment="1">
      <alignment horizontal="center" vertical="center"/>
    </xf>
    <xf numFmtId="4" fontId="11" fillId="0" borderId="0" xfId="0" applyNumberFormat="1" applyFont="1" applyFill="1" applyAlignment="1">
      <alignment vertical="center"/>
    </xf>
    <xf numFmtId="0" fontId="11" fillId="0" borderId="2" xfId="0" applyFont="1" applyFill="1" applyBorder="1" applyAlignment="1">
      <alignment horizontal="right"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9" fillId="0" borderId="0" xfId="0" applyFont="1" applyFill="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2" fontId="11" fillId="0" borderId="2" xfId="0" applyNumberFormat="1" applyFont="1" applyFill="1" applyBorder="1" applyAlignment="1">
      <alignment horizontal="center" vertical="center"/>
    </xf>
    <xf numFmtId="2" fontId="9" fillId="0" borderId="2" xfId="0" applyNumberFormat="1" applyFont="1" applyFill="1" applyBorder="1" applyAlignment="1">
      <alignment horizontal="center" vertical="center"/>
    </xf>
    <xf numFmtId="2" fontId="9" fillId="0" borderId="7" xfId="0" applyNumberFormat="1" applyFont="1" applyFill="1" applyBorder="1" applyAlignment="1">
      <alignment horizontal="center" vertical="center"/>
    </xf>
    <xf numFmtId="0" fontId="16" fillId="0" borderId="2" xfId="0" applyFont="1" applyFill="1" applyBorder="1" applyAlignment="1">
      <alignment horizontal="left" vertical="center" wrapText="1"/>
    </xf>
    <xf numFmtId="4" fontId="11" fillId="0" borderId="2" xfId="0" applyNumberFormat="1" applyFont="1" applyFill="1" applyBorder="1" applyAlignment="1" applyProtection="1">
      <alignment horizontal="center" vertical="center" wrapText="1"/>
      <protection locked="0"/>
    </xf>
    <xf numFmtId="4" fontId="5" fillId="0" borderId="15" xfId="0" applyNumberFormat="1" applyFont="1" applyFill="1" applyBorder="1" applyAlignment="1" applyProtection="1">
      <alignment horizontal="center" vertical="center" wrapText="1"/>
      <protection locked="0"/>
    </xf>
    <xf numFmtId="0" fontId="11" fillId="0" borderId="2" xfId="0" applyFont="1" applyFill="1" applyBorder="1" applyAlignment="1">
      <alignment horizontal="right"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0" xfId="0" applyFont="1" applyFill="1" applyAlignment="1">
      <alignment horizontal="center" vertical="center" wrapText="1"/>
    </xf>
    <xf numFmtId="0" fontId="11" fillId="0" borderId="2" xfId="0" applyFont="1" applyFill="1" applyBorder="1" applyAlignment="1">
      <alignment horizontal="right"/>
    </xf>
    <xf numFmtId="0" fontId="11" fillId="0" borderId="4" xfId="0" applyFont="1" applyFill="1" applyBorder="1" applyAlignment="1">
      <alignment horizontal="right"/>
    </xf>
    <xf numFmtId="0" fontId="9" fillId="0" borderId="27" xfId="0" applyFont="1" applyFill="1" applyBorder="1" applyAlignment="1">
      <alignment horizontal="center" vertical="center" wrapText="1"/>
    </xf>
    <xf numFmtId="0" fontId="9" fillId="0" borderId="0" xfId="0" applyFont="1" applyFill="1" applyAlignment="1">
      <alignment horizontal="center" vertical="center" wrapText="1"/>
    </xf>
    <xf numFmtId="0" fontId="24" fillId="0" borderId="2" xfId="0" applyFont="1" applyFill="1" applyBorder="1" applyAlignment="1">
      <alignment horizontal="center" vertical="center" wrapText="1"/>
    </xf>
    <xf numFmtId="0" fontId="11" fillId="0" borderId="2" xfId="0" applyFont="1" applyFill="1" applyBorder="1" applyAlignment="1">
      <alignment horizontal="right" vertical="center" wrapText="1"/>
    </xf>
    <xf numFmtId="0" fontId="11" fillId="0" borderId="4" xfId="0" applyFont="1" applyFill="1" applyBorder="1" applyAlignment="1">
      <alignment horizontal="right" vertical="center" wrapText="1"/>
    </xf>
    <xf numFmtId="0" fontId="11" fillId="0" borderId="4" xfId="0" applyFont="1" applyFill="1" applyBorder="1" applyAlignment="1">
      <alignment horizontal="right" vertical="center"/>
    </xf>
    <xf numFmtId="0" fontId="11" fillId="0" borderId="6" xfId="0" applyFont="1" applyFill="1" applyBorder="1" applyAlignment="1">
      <alignment horizontal="right" vertical="center"/>
    </xf>
    <xf numFmtId="0" fontId="11" fillId="0" borderId="5" xfId="0" applyFont="1" applyFill="1" applyBorder="1" applyAlignment="1">
      <alignment horizontal="right" vertical="center"/>
    </xf>
    <xf numFmtId="0" fontId="25" fillId="0" borderId="1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 fillId="0" borderId="0" xfId="0" applyFont="1" applyFill="1" applyAlignment="1">
      <alignment horizontal="right" vertical="center" wrapText="1"/>
    </xf>
    <xf numFmtId="0" fontId="3" fillId="0" borderId="0" xfId="0" applyFont="1" applyFill="1" applyAlignment="1">
      <alignment horizontal="right" vertical="center"/>
    </xf>
    <xf numFmtId="0" fontId="23" fillId="0" borderId="0" xfId="0" applyFont="1" applyFill="1" applyAlignment="1">
      <alignment horizontal="center" vertical="center"/>
    </xf>
    <xf numFmtId="0" fontId="4" fillId="0" borderId="1"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1" xfId="0" applyFont="1" applyFill="1" applyBorder="1" applyAlignment="1">
      <alignment horizontal="center" vertical="center" wrapText="1"/>
    </xf>
    <xf numFmtId="2" fontId="11" fillId="0" borderId="2" xfId="0" applyNumberFormat="1" applyFont="1" applyFill="1" applyBorder="1" applyAlignment="1">
      <alignment horizontal="center" vertical="center"/>
    </xf>
    <xf numFmtId="2" fontId="9" fillId="0" borderId="2" xfId="0" applyNumberFormat="1" applyFont="1" applyFill="1" applyBorder="1" applyAlignment="1">
      <alignment horizontal="center" vertical="center"/>
    </xf>
    <xf numFmtId="0" fontId="9" fillId="0" borderId="4" xfId="0" applyFont="1" applyFill="1" applyBorder="1" applyAlignment="1">
      <alignment horizontal="right" wrapText="1"/>
    </xf>
    <xf numFmtId="0" fontId="9" fillId="0" borderId="6" xfId="0" applyFont="1" applyFill="1" applyBorder="1" applyAlignment="1">
      <alignment horizontal="right" wrapText="1"/>
    </xf>
    <xf numFmtId="0" fontId="9" fillId="0" borderId="5" xfId="0" applyFont="1" applyFill="1" applyBorder="1" applyAlignment="1">
      <alignment horizontal="right" wrapText="1"/>
    </xf>
    <xf numFmtId="2" fontId="9" fillId="0" borderId="3" xfId="0" applyNumberFormat="1" applyFont="1" applyFill="1" applyBorder="1" applyAlignment="1">
      <alignment horizontal="center" vertical="center"/>
    </xf>
    <xf numFmtId="2" fontId="9" fillId="0" borderId="34" xfId="0" applyNumberFormat="1" applyFont="1" applyFill="1" applyBorder="1" applyAlignment="1">
      <alignment horizontal="center" vertical="center"/>
    </xf>
    <xf numFmtId="2" fontId="9" fillId="0" borderId="7" xfId="0" applyNumberFormat="1" applyFont="1" applyFill="1" applyBorder="1" applyAlignment="1">
      <alignment horizontal="center" vertical="center"/>
    </xf>
    <xf numFmtId="0" fontId="25" fillId="0" borderId="10" xfId="0" applyFont="1" applyFill="1" applyBorder="1" applyAlignment="1">
      <alignment horizontal="center" vertical="center" wrapText="1"/>
    </xf>
    <xf numFmtId="0" fontId="25" fillId="0" borderId="0" xfId="0" applyFont="1" applyFill="1" applyAlignment="1">
      <alignment horizontal="center" vertical="center" wrapText="1"/>
    </xf>
    <xf numFmtId="0" fontId="25" fillId="0" borderId="11" xfId="0" applyFont="1" applyFill="1" applyBorder="1" applyAlignment="1">
      <alignment horizontal="center" vertical="center" wrapText="1"/>
    </xf>
    <xf numFmtId="0" fontId="9" fillId="0" borderId="2" xfId="0" applyFont="1" applyFill="1" applyBorder="1" applyAlignment="1">
      <alignment horizontal="right" vertical="center"/>
    </xf>
  </cellXfs>
  <cellStyles count="2">
    <cellStyle name="Įprastas 2" xfId="1" xr:uid="{00000000-0005-0000-0000-000000000000}"/>
    <cellStyle name="Normal" xfId="0" builtinId="0"/>
  </cellStyles>
  <dxfs count="3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9"/>
  <sheetViews>
    <sheetView tabSelected="1" topLeftCell="E1" zoomScale="78" zoomScaleNormal="78" workbookViewId="0">
      <pane ySplit="6" topLeftCell="A7" activePane="bottomLeft" state="frozen"/>
      <selection pane="bottomLeft" activeCell="A2" sqref="A2:V2"/>
    </sheetView>
  </sheetViews>
  <sheetFormatPr defaultColWidth="9.109375" defaultRowHeight="14.4" x14ac:dyDescent="0.3"/>
  <cols>
    <col min="1" max="1" width="6.44140625" style="282" customWidth="1"/>
    <col min="2" max="2" width="40.88671875" style="24" customWidth="1"/>
    <col min="3" max="3" width="12.6640625" style="150" customWidth="1"/>
    <col min="4" max="4" width="22.88671875" style="24" customWidth="1"/>
    <col min="5" max="5" width="30.5546875" style="24" customWidth="1"/>
    <col min="6" max="6" width="11.5546875" style="283" customWidth="1"/>
    <col min="7" max="7" width="10.5546875" style="283" customWidth="1"/>
    <col min="8" max="8" width="30.5546875" style="24" customWidth="1"/>
    <col min="9" max="10" width="10.109375" style="282" customWidth="1"/>
    <col min="11" max="11" width="10.109375" style="24" customWidth="1"/>
    <col min="12" max="12" width="12.44140625" style="24" customWidth="1"/>
    <col min="13" max="15" width="10.109375" style="24" customWidth="1"/>
    <col min="16" max="16" width="12.109375" style="24" customWidth="1"/>
    <col min="17" max="19" width="10.109375" style="24" customWidth="1"/>
    <col min="20" max="20" width="11.33203125" style="24" customWidth="1"/>
    <col min="21" max="22" width="11.6640625" style="283" customWidth="1"/>
    <col min="23" max="23" width="9.109375" style="284"/>
    <col min="24" max="24" width="9.109375" style="294"/>
    <col min="25" max="16384" width="9.109375" style="24"/>
  </cols>
  <sheetData>
    <row r="1" spans="1:24" ht="61.5" customHeight="1" x14ac:dyDescent="0.3">
      <c r="A1" s="338" t="s">
        <v>393</v>
      </c>
      <c r="B1" s="339"/>
      <c r="C1" s="339"/>
      <c r="D1" s="339"/>
      <c r="E1" s="339"/>
      <c r="F1" s="339"/>
      <c r="G1" s="339"/>
      <c r="H1" s="339"/>
      <c r="I1" s="339"/>
      <c r="J1" s="339"/>
      <c r="K1" s="339"/>
      <c r="L1" s="339"/>
      <c r="M1" s="339"/>
      <c r="N1" s="339"/>
      <c r="O1" s="339"/>
      <c r="P1" s="339"/>
      <c r="Q1" s="339"/>
      <c r="R1" s="339"/>
      <c r="S1" s="339"/>
      <c r="T1" s="339"/>
      <c r="U1" s="339"/>
      <c r="V1" s="339"/>
    </row>
    <row r="2" spans="1:24" ht="27.75" customHeight="1" x14ac:dyDescent="0.3">
      <c r="A2" s="340" t="s">
        <v>364</v>
      </c>
      <c r="B2" s="340"/>
      <c r="C2" s="340"/>
      <c r="D2" s="340"/>
      <c r="E2" s="340"/>
      <c r="F2" s="340"/>
      <c r="G2" s="340"/>
      <c r="H2" s="340"/>
      <c r="I2" s="340"/>
      <c r="J2" s="340"/>
      <c r="K2" s="340"/>
      <c r="L2" s="340"/>
      <c r="M2" s="340"/>
      <c r="N2" s="340"/>
      <c r="O2" s="340"/>
      <c r="P2" s="340"/>
      <c r="Q2" s="340"/>
      <c r="R2" s="340"/>
      <c r="S2" s="340"/>
      <c r="T2" s="340"/>
      <c r="U2" s="340"/>
      <c r="V2" s="340"/>
    </row>
    <row r="3" spans="1:24" ht="9.75" customHeight="1" x14ac:dyDescent="0.3">
      <c r="A3" s="341"/>
      <c r="B3" s="341"/>
      <c r="C3" s="341"/>
      <c r="D3" s="341"/>
      <c r="E3" s="341"/>
      <c r="F3" s="341"/>
      <c r="G3" s="341"/>
      <c r="H3" s="341"/>
      <c r="I3" s="341"/>
      <c r="J3" s="341"/>
      <c r="K3" s="341"/>
      <c r="L3" s="341"/>
      <c r="M3" s="341"/>
      <c r="N3" s="341"/>
      <c r="O3" s="341"/>
      <c r="P3" s="341"/>
      <c r="Q3" s="341"/>
      <c r="R3" s="341"/>
      <c r="S3" s="341"/>
      <c r="T3" s="341"/>
      <c r="U3" s="341"/>
      <c r="V3" s="341"/>
    </row>
    <row r="4" spans="1:24" s="26" customFormat="1" ht="63.75" customHeight="1" x14ac:dyDescent="0.3">
      <c r="A4" s="321" t="s">
        <v>0</v>
      </c>
      <c r="B4" s="321" t="s">
        <v>1</v>
      </c>
      <c r="C4" s="342" t="s">
        <v>2</v>
      </c>
      <c r="D4" s="321" t="s">
        <v>3</v>
      </c>
      <c r="E4" s="321" t="s">
        <v>4</v>
      </c>
      <c r="F4" s="344" t="s">
        <v>5</v>
      </c>
      <c r="G4" s="345"/>
      <c r="H4" s="25" t="s">
        <v>6</v>
      </c>
      <c r="I4" s="346" t="s">
        <v>7</v>
      </c>
      <c r="J4" s="347"/>
      <c r="K4" s="347"/>
      <c r="L4" s="348"/>
      <c r="M4" s="346" t="s">
        <v>8</v>
      </c>
      <c r="N4" s="347"/>
      <c r="O4" s="347"/>
      <c r="P4" s="348"/>
      <c r="Q4" s="346" t="s">
        <v>9</v>
      </c>
      <c r="R4" s="347"/>
      <c r="S4" s="347"/>
      <c r="T4" s="348"/>
      <c r="U4" s="349" t="s">
        <v>10</v>
      </c>
      <c r="V4" s="322" t="s">
        <v>11</v>
      </c>
      <c r="W4" s="285" t="s">
        <v>386</v>
      </c>
      <c r="X4" s="295" t="s">
        <v>387</v>
      </c>
    </row>
    <row r="5" spans="1:24" s="26" customFormat="1" ht="58.5" customHeight="1" x14ac:dyDescent="0.3">
      <c r="A5" s="321"/>
      <c r="B5" s="321"/>
      <c r="C5" s="343"/>
      <c r="D5" s="321"/>
      <c r="E5" s="321"/>
      <c r="F5" s="27" t="s">
        <v>12</v>
      </c>
      <c r="G5" s="27" t="s">
        <v>13</v>
      </c>
      <c r="H5" s="25"/>
      <c r="I5" s="25" t="s">
        <v>14</v>
      </c>
      <c r="J5" s="25" t="s">
        <v>12</v>
      </c>
      <c r="K5" s="25" t="s">
        <v>15</v>
      </c>
      <c r="L5" s="25" t="s">
        <v>16</v>
      </c>
      <c r="M5" s="25" t="s">
        <v>14</v>
      </c>
      <c r="N5" s="25" t="s">
        <v>17</v>
      </c>
      <c r="O5" s="25" t="s">
        <v>15</v>
      </c>
      <c r="P5" s="25" t="s">
        <v>18</v>
      </c>
      <c r="Q5" s="25" t="s">
        <v>14</v>
      </c>
      <c r="R5" s="25" t="s">
        <v>12</v>
      </c>
      <c r="S5" s="25" t="s">
        <v>15</v>
      </c>
      <c r="T5" s="25" t="s">
        <v>18</v>
      </c>
      <c r="U5" s="350"/>
      <c r="V5" s="322"/>
      <c r="W5" s="286"/>
      <c r="X5" s="296"/>
    </row>
    <row r="6" spans="1:24" x14ac:dyDescent="0.3">
      <c r="A6" s="28">
        <v>1</v>
      </c>
      <c r="B6" s="29">
        <v>2</v>
      </c>
      <c r="C6" s="29">
        <v>3</v>
      </c>
      <c r="D6" s="29">
        <v>4</v>
      </c>
      <c r="E6" s="29">
        <v>5</v>
      </c>
      <c r="F6" s="30">
        <v>6</v>
      </c>
      <c r="G6" s="30">
        <v>7</v>
      </c>
      <c r="H6" s="30">
        <v>8</v>
      </c>
      <c r="I6" s="31">
        <v>9</v>
      </c>
      <c r="J6" s="31">
        <v>10</v>
      </c>
      <c r="K6" s="31">
        <v>11</v>
      </c>
      <c r="L6" s="31">
        <v>12</v>
      </c>
      <c r="M6" s="31">
        <v>13</v>
      </c>
      <c r="N6" s="31">
        <v>14</v>
      </c>
      <c r="O6" s="31">
        <v>15</v>
      </c>
      <c r="P6" s="31">
        <v>16</v>
      </c>
      <c r="Q6" s="31">
        <v>17</v>
      </c>
      <c r="R6" s="31">
        <v>18</v>
      </c>
      <c r="S6" s="31">
        <v>19</v>
      </c>
      <c r="T6" s="31">
        <v>20</v>
      </c>
      <c r="U6" s="30">
        <v>21</v>
      </c>
      <c r="V6" s="30">
        <v>22</v>
      </c>
    </row>
    <row r="7" spans="1:24" s="32" customFormat="1" ht="27.75" customHeight="1" x14ac:dyDescent="0.25">
      <c r="A7" s="329" t="s">
        <v>359</v>
      </c>
      <c r="B7" s="329"/>
      <c r="C7" s="329"/>
      <c r="D7" s="329"/>
      <c r="E7" s="329"/>
      <c r="F7" s="329"/>
      <c r="G7" s="329"/>
      <c r="H7" s="329"/>
      <c r="I7" s="329"/>
      <c r="J7" s="329"/>
      <c r="K7" s="329"/>
      <c r="L7" s="329"/>
      <c r="M7" s="329"/>
      <c r="N7" s="329"/>
      <c r="O7" s="329"/>
      <c r="P7" s="329"/>
      <c r="Q7" s="329"/>
      <c r="R7" s="329"/>
      <c r="S7" s="329"/>
      <c r="T7" s="329"/>
      <c r="U7" s="329"/>
      <c r="V7" s="329"/>
      <c r="W7" s="287"/>
      <c r="X7" s="297"/>
    </row>
    <row r="8" spans="1:24" s="26" customFormat="1" ht="23.25" customHeight="1" thickBot="1" x14ac:dyDescent="0.35">
      <c r="A8" s="33"/>
      <c r="B8" s="34" t="s">
        <v>19</v>
      </c>
      <c r="C8" s="35"/>
      <c r="D8" s="35"/>
      <c r="E8" s="35"/>
      <c r="F8" s="36"/>
      <c r="G8" s="36"/>
      <c r="H8" s="35"/>
      <c r="I8" s="35"/>
      <c r="J8" s="35"/>
      <c r="K8" s="35"/>
      <c r="L8" s="35"/>
      <c r="M8" s="35"/>
      <c r="N8" s="35"/>
      <c r="O8" s="35"/>
      <c r="P8" s="35"/>
      <c r="Q8" s="35"/>
      <c r="R8" s="35"/>
      <c r="S8" s="35"/>
      <c r="T8" s="35"/>
      <c r="U8" s="36"/>
      <c r="V8" s="37"/>
      <c r="W8" s="286"/>
      <c r="X8" s="296"/>
    </row>
    <row r="9" spans="1:24" s="48" customFormat="1" ht="59.25" customHeight="1" x14ac:dyDescent="0.25">
      <c r="A9" s="38">
        <v>1</v>
      </c>
      <c r="B9" s="7" t="s">
        <v>20</v>
      </c>
      <c r="C9" s="25" t="s">
        <v>21</v>
      </c>
      <c r="D9" s="7" t="s">
        <v>22</v>
      </c>
      <c r="E9" s="7" t="s">
        <v>23</v>
      </c>
      <c r="F9" s="39">
        <v>142.45000000000002</v>
      </c>
      <c r="G9" s="39">
        <v>10</v>
      </c>
      <c r="H9" s="40" t="s">
        <v>23</v>
      </c>
      <c r="I9" s="41">
        <f>SUM(J9:L9)</f>
        <v>70</v>
      </c>
      <c r="J9" s="42">
        <f>80-10</f>
        <v>70</v>
      </c>
      <c r="K9" s="43"/>
      <c r="L9" s="44"/>
      <c r="M9" s="41">
        <f>SUM(N9:P9)</f>
        <v>44.75</v>
      </c>
      <c r="N9" s="42">
        <f>54.75-10</f>
        <v>44.75</v>
      </c>
      <c r="O9" s="45"/>
      <c r="P9" s="46"/>
      <c r="Q9" s="41">
        <f>SUM(R9:T9)</f>
        <v>0</v>
      </c>
      <c r="R9" s="45"/>
      <c r="S9" s="45"/>
      <c r="T9" s="46"/>
      <c r="U9" s="47">
        <v>2018</v>
      </c>
      <c r="V9" s="27">
        <v>2022</v>
      </c>
      <c r="W9" s="288"/>
      <c r="X9" s="298"/>
    </row>
    <row r="10" spans="1:24" s="48" customFormat="1" ht="41.4" x14ac:dyDescent="0.25">
      <c r="A10" s="38">
        <f t="shared" ref="A10:A42" si="0">A9+1</f>
        <v>2</v>
      </c>
      <c r="B10" s="7" t="s">
        <v>24</v>
      </c>
      <c r="C10" s="25" t="s">
        <v>25</v>
      </c>
      <c r="D10" s="7" t="s">
        <v>26</v>
      </c>
      <c r="E10" s="7" t="s">
        <v>27</v>
      </c>
      <c r="F10" s="39">
        <v>174.70999999999998</v>
      </c>
      <c r="G10" s="39">
        <v>5</v>
      </c>
      <c r="H10" s="40" t="s">
        <v>28</v>
      </c>
      <c r="I10" s="49">
        <f t="shared" ref="I10:I34" si="1">SUM(J10:L10)</f>
        <v>144.59</v>
      </c>
      <c r="J10" s="23">
        <f>99.38+45.21</f>
        <v>144.59</v>
      </c>
      <c r="K10" s="50"/>
      <c r="L10" s="51"/>
      <c r="M10" s="49">
        <f t="shared" ref="M10:M34" si="2">SUM(N10:P10)</f>
        <v>53.190000000000005</v>
      </c>
      <c r="N10" s="318">
        <f>98.4-45.21</f>
        <v>53.190000000000005</v>
      </c>
      <c r="O10" s="50"/>
      <c r="P10" s="51"/>
      <c r="Q10" s="49">
        <f t="shared" ref="Q10:Q34" si="3">SUM(R10:T10)</f>
        <v>74.34</v>
      </c>
      <c r="R10" s="23">
        <f>98.4-24.06</f>
        <v>74.34</v>
      </c>
      <c r="S10" s="50"/>
      <c r="T10" s="51"/>
      <c r="U10" s="47">
        <v>2018</v>
      </c>
      <c r="V10" s="27">
        <v>2023</v>
      </c>
      <c r="W10" s="288">
        <v>45.21</v>
      </c>
      <c r="X10" s="298"/>
    </row>
    <row r="11" spans="1:24" s="48" customFormat="1" ht="41.4" x14ac:dyDescent="0.25">
      <c r="A11" s="38">
        <f t="shared" si="0"/>
        <v>3</v>
      </c>
      <c r="B11" s="7" t="s">
        <v>29</v>
      </c>
      <c r="C11" s="25" t="s">
        <v>30</v>
      </c>
      <c r="D11" s="7" t="s">
        <v>31</v>
      </c>
      <c r="E11" s="7" t="s">
        <v>27</v>
      </c>
      <c r="F11" s="39">
        <v>345.69</v>
      </c>
      <c r="G11" s="39">
        <v>0</v>
      </c>
      <c r="H11" s="40" t="s">
        <v>28</v>
      </c>
      <c r="I11" s="49">
        <f t="shared" si="1"/>
        <v>0</v>
      </c>
      <c r="J11" s="23">
        <v>0</v>
      </c>
      <c r="K11" s="50"/>
      <c r="L11" s="51"/>
      <c r="M11" s="319">
        <f>SUM(N11:P11)</f>
        <v>28.06</v>
      </c>
      <c r="N11" s="318">
        <v>28.06</v>
      </c>
      <c r="O11" s="50"/>
      <c r="P11" s="51"/>
      <c r="Q11" s="49">
        <f t="shared" si="3"/>
        <v>0</v>
      </c>
      <c r="R11" s="50"/>
      <c r="S11" s="50"/>
      <c r="T11" s="51"/>
      <c r="U11" s="52">
        <v>2018</v>
      </c>
      <c r="V11" s="19">
        <v>2021</v>
      </c>
      <c r="W11" s="288"/>
      <c r="X11" s="298">
        <v>28.06</v>
      </c>
    </row>
    <row r="12" spans="1:24" s="48" customFormat="1" ht="69" x14ac:dyDescent="0.25">
      <c r="A12" s="38">
        <f t="shared" si="0"/>
        <v>4</v>
      </c>
      <c r="B12" s="7" t="s">
        <v>32</v>
      </c>
      <c r="C12" s="25" t="s">
        <v>33</v>
      </c>
      <c r="D12" s="7" t="s">
        <v>34</v>
      </c>
      <c r="E12" s="7" t="s">
        <v>35</v>
      </c>
      <c r="F12" s="39">
        <f>150+111+28.31</f>
        <v>289.31</v>
      </c>
      <c r="G12" s="39">
        <f>45+2</f>
        <v>47</v>
      </c>
      <c r="H12" s="40" t="s">
        <v>35</v>
      </c>
      <c r="I12" s="49">
        <f t="shared" si="1"/>
        <v>148</v>
      </c>
      <c r="J12" s="23">
        <f>148-K12</f>
        <v>145.85400000000001</v>
      </c>
      <c r="K12" s="50">
        <v>2.1459999999999999</v>
      </c>
      <c r="L12" s="51"/>
      <c r="M12" s="49">
        <f t="shared" si="2"/>
        <v>0</v>
      </c>
      <c r="N12" s="50"/>
      <c r="O12" s="50"/>
      <c r="P12" s="51"/>
      <c r="Q12" s="49">
        <f t="shared" si="3"/>
        <v>0</v>
      </c>
      <c r="R12" s="50"/>
      <c r="S12" s="50"/>
      <c r="T12" s="51"/>
      <c r="U12" s="52">
        <v>2019</v>
      </c>
      <c r="V12" s="19">
        <v>2021</v>
      </c>
      <c r="W12" s="288"/>
      <c r="X12" s="298"/>
    </row>
    <row r="13" spans="1:24" s="48" customFormat="1" ht="64.5" customHeight="1" x14ac:dyDescent="0.25">
      <c r="A13" s="38">
        <f t="shared" si="0"/>
        <v>5</v>
      </c>
      <c r="B13" s="7" t="s">
        <v>36</v>
      </c>
      <c r="C13" s="25" t="s">
        <v>37</v>
      </c>
      <c r="D13" s="7" t="s">
        <v>38</v>
      </c>
      <c r="E13" s="7" t="s">
        <v>39</v>
      </c>
      <c r="F13" s="39">
        <f>105+100+80</f>
        <v>285</v>
      </c>
      <c r="G13" s="39">
        <f>45+17+20</f>
        <v>82</v>
      </c>
      <c r="H13" s="40" t="s">
        <v>40</v>
      </c>
      <c r="I13" s="49">
        <f t="shared" si="1"/>
        <v>140</v>
      </c>
      <c r="J13" s="23">
        <v>120</v>
      </c>
      <c r="K13" s="50">
        <v>20</v>
      </c>
      <c r="L13" s="51"/>
      <c r="M13" s="49">
        <f t="shared" si="2"/>
        <v>166</v>
      </c>
      <c r="N13" s="23">
        <v>166</v>
      </c>
      <c r="O13" s="50"/>
      <c r="P13" s="51"/>
      <c r="Q13" s="49">
        <f t="shared" si="3"/>
        <v>214</v>
      </c>
      <c r="R13" s="23">
        <v>214</v>
      </c>
      <c r="S13" s="50"/>
      <c r="T13" s="51"/>
      <c r="U13" s="52">
        <v>2018</v>
      </c>
      <c r="V13" s="19">
        <v>2023</v>
      </c>
      <c r="W13" s="288"/>
      <c r="X13" s="298"/>
    </row>
    <row r="14" spans="1:24" s="48" customFormat="1" ht="96" customHeight="1" x14ac:dyDescent="0.25">
      <c r="A14" s="53">
        <f t="shared" si="0"/>
        <v>6</v>
      </c>
      <c r="B14" s="54" t="s">
        <v>383</v>
      </c>
      <c r="C14" s="54" t="s">
        <v>41</v>
      </c>
      <c r="D14" s="54" t="s">
        <v>42</v>
      </c>
      <c r="E14" s="7" t="s">
        <v>43</v>
      </c>
      <c r="F14" s="39">
        <f>100+90+50+54</f>
        <v>294</v>
      </c>
      <c r="G14" s="39">
        <f>65+50+35</f>
        <v>150</v>
      </c>
      <c r="H14" s="40" t="s">
        <v>44</v>
      </c>
      <c r="I14" s="49">
        <f t="shared" si="1"/>
        <v>140.52000000000001</v>
      </c>
      <c r="J14" s="23">
        <f>140.52-K14</f>
        <v>100.52000000000001</v>
      </c>
      <c r="K14" s="50">
        <v>40</v>
      </c>
      <c r="L14" s="51"/>
      <c r="M14" s="49">
        <f t="shared" si="2"/>
        <v>0</v>
      </c>
      <c r="N14" s="50"/>
      <c r="O14" s="50"/>
      <c r="P14" s="51"/>
      <c r="Q14" s="49">
        <f t="shared" si="3"/>
        <v>0</v>
      </c>
      <c r="R14" s="50"/>
      <c r="S14" s="50"/>
      <c r="T14" s="51"/>
      <c r="U14" s="55">
        <v>2018</v>
      </c>
      <c r="V14" s="15">
        <v>2021</v>
      </c>
      <c r="W14" s="288"/>
      <c r="X14" s="298"/>
    </row>
    <row r="15" spans="1:24" s="48" customFormat="1" ht="51.75" customHeight="1" x14ac:dyDescent="0.25">
      <c r="A15" s="38">
        <f>A14+1</f>
        <v>7</v>
      </c>
      <c r="B15" s="7" t="s">
        <v>365</v>
      </c>
      <c r="C15" s="25" t="s">
        <v>45</v>
      </c>
      <c r="D15" s="7" t="s">
        <v>46</v>
      </c>
      <c r="E15" s="7" t="s">
        <v>47</v>
      </c>
      <c r="F15" s="39">
        <f>90+86+46.8-16.48-13.21</f>
        <v>193.11</v>
      </c>
      <c r="G15" s="39">
        <f>45+25+10-3.52-2.82</f>
        <v>73.660000000000011</v>
      </c>
      <c r="H15" s="40" t="s">
        <v>47</v>
      </c>
      <c r="I15" s="49">
        <f t="shared" si="1"/>
        <v>34.6</v>
      </c>
      <c r="J15" s="23">
        <v>34.6</v>
      </c>
      <c r="K15" s="50"/>
      <c r="L15" s="51"/>
      <c r="M15" s="49">
        <f t="shared" si="2"/>
        <v>0</v>
      </c>
      <c r="N15" s="50"/>
      <c r="O15" s="50"/>
      <c r="P15" s="51"/>
      <c r="Q15" s="49">
        <f t="shared" si="3"/>
        <v>0</v>
      </c>
      <c r="R15" s="50"/>
      <c r="S15" s="50"/>
      <c r="T15" s="51"/>
      <c r="U15" s="52">
        <v>2018</v>
      </c>
      <c r="V15" s="19">
        <v>2021</v>
      </c>
      <c r="W15" s="288"/>
      <c r="X15" s="298"/>
    </row>
    <row r="16" spans="1:24" s="48" customFormat="1" ht="69.75" customHeight="1" x14ac:dyDescent="0.25">
      <c r="A16" s="38">
        <f t="shared" si="0"/>
        <v>8</v>
      </c>
      <c r="B16" s="7" t="s">
        <v>48</v>
      </c>
      <c r="C16" s="25" t="s">
        <v>49</v>
      </c>
      <c r="D16" s="7" t="s">
        <v>50</v>
      </c>
      <c r="E16" s="7" t="s">
        <v>51</v>
      </c>
      <c r="F16" s="39">
        <f>110+55+115</f>
        <v>280</v>
      </c>
      <c r="G16" s="39"/>
      <c r="H16" s="40" t="s">
        <v>51</v>
      </c>
      <c r="I16" s="49">
        <f t="shared" si="1"/>
        <v>65.05</v>
      </c>
      <c r="J16" s="23">
        <v>65.05</v>
      </c>
      <c r="K16" s="50"/>
      <c r="L16" s="51"/>
      <c r="M16" s="49">
        <f t="shared" si="2"/>
        <v>0</v>
      </c>
      <c r="N16" s="50"/>
      <c r="O16" s="50"/>
      <c r="P16" s="51"/>
      <c r="Q16" s="49">
        <f t="shared" si="3"/>
        <v>0</v>
      </c>
      <c r="R16" s="50"/>
      <c r="S16" s="50"/>
      <c r="T16" s="51"/>
      <c r="U16" s="52">
        <v>2019</v>
      </c>
      <c r="V16" s="19">
        <v>2021</v>
      </c>
      <c r="W16" s="288"/>
      <c r="X16" s="298"/>
    </row>
    <row r="17" spans="1:25" s="48" customFormat="1" ht="55.2" x14ac:dyDescent="0.25">
      <c r="A17" s="38">
        <f t="shared" si="0"/>
        <v>9</v>
      </c>
      <c r="B17" s="7" t="s">
        <v>52</v>
      </c>
      <c r="C17" s="25" t="s">
        <v>53</v>
      </c>
      <c r="D17" s="7" t="s">
        <v>50</v>
      </c>
      <c r="E17" s="7" t="s">
        <v>51</v>
      </c>
      <c r="F17" s="39">
        <f>87+55+70</f>
        <v>212</v>
      </c>
      <c r="G17" s="39"/>
      <c r="H17" s="40" t="s">
        <v>51</v>
      </c>
      <c r="I17" s="49">
        <f t="shared" si="1"/>
        <v>34</v>
      </c>
      <c r="J17" s="23">
        <v>34</v>
      </c>
      <c r="K17" s="50"/>
      <c r="L17" s="51"/>
      <c r="M17" s="49">
        <f t="shared" si="2"/>
        <v>0</v>
      </c>
      <c r="N17" s="50"/>
      <c r="O17" s="50"/>
      <c r="P17" s="51"/>
      <c r="Q17" s="49">
        <f t="shared" si="3"/>
        <v>0</v>
      </c>
      <c r="R17" s="50"/>
      <c r="S17" s="50"/>
      <c r="T17" s="51"/>
      <c r="U17" s="52">
        <v>2019</v>
      </c>
      <c r="V17" s="19">
        <v>2021</v>
      </c>
      <c r="W17" s="288"/>
      <c r="X17" s="298"/>
    </row>
    <row r="18" spans="1:25" s="48" customFormat="1" ht="41.4" x14ac:dyDescent="0.25">
      <c r="A18" s="38">
        <f t="shared" si="0"/>
        <v>10</v>
      </c>
      <c r="B18" s="7" t="s">
        <v>54</v>
      </c>
      <c r="C18" s="25" t="s">
        <v>55</v>
      </c>
      <c r="D18" s="7" t="s">
        <v>56</v>
      </c>
      <c r="E18" s="7" t="s">
        <v>57</v>
      </c>
      <c r="F18" s="39">
        <f>859.45+60+30</f>
        <v>949.45</v>
      </c>
      <c r="G18" s="39">
        <f>195.96+30</f>
        <v>225.96</v>
      </c>
      <c r="H18" s="40" t="s">
        <v>57</v>
      </c>
      <c r="I18" s="49">
        <f t="shared" si="1"/>
        <v>118</v>
      </c>
      <c r="J18" s="23">
        <v>80</v>
      </c>
      <c r="K18" s="50">
        <v>8</v>
      </c>
      <c r="L18" s="51">
        <v>30</v>
      </c>
      <c r="M18" s="49">
        <f t="shared" si="2"/>
        <v>170</v>
      </c>
      <c r="N18" s="23">
        <v>170</v>
      </c>
      <c r="O18" s="50"/>
      <c r="P18" s="51"/>
      <c r="Q18" s="49">
        <f t="shared" si="3"/>
        <v>250</v>
      </c>
      <c r="R18" s="56">
        <v>250</v>
      </c>
      <c r="S18" s="50"/>
      <c r="T18" s="51"/>
      <c r="U18" s="52">
        <v>2015</v>
      </c>
      <c r="V18" s="19">
        <v>2023</v>
      </c>
      <c r="W18" s="288"/>
      <c r="X18" s="298"/>
    </row>
    <row r="19" spans="1:25" s="48" customFormat="1" ht="41.4" x14ac:dyDescent="0.25">
      <c r="A19" s="38">
        <f t="shared" si="0"/>
        <v>11</v>
      </c>
      <c r="B19" s="7" t="s">
        <v>58</v>
      </c>
      <c r="C19" s="25" t="s">
        <v>59</v>
      </c>
      <c r="D19" s="7" t="s">
        <v>50</v>
      </c>
      <c r="E19" s="7" t="s">
        <v>57</v>
      </c>
      <c r="F19" s="39">
        <f>350.45+50+10</f>
        <v>410.45</v>
      </c>
      <c r="G19" s="39">
        <v>75.83</v>
      </c>
      <c r="H19" s="40" t="s">
        <v>57</v>
      </c>
      <c r="I19" s="49">
        <f t="shared" si="1"/>
        <v>30.5</v>
      </c>
      <c r="J19" s="23">
        <f>38.9-8.4</f>
        <v>30.5</v>
      </c>
      <c r="K19" s="50"/>
      <c r="L19" s="51"/>
      <c r="M19" s="49">
        <f t="shared" si="2"/>
        <v>0</v>
      </c>
      <c r="N19" s="50"/>
      <c r="O19" s="50"/>
      <c r="P19" s="51"/>
      <c r="Q19" s="49">
        <f t="shared" si="3"/>
        <v>0</v>
      </c>
      <c r="R19" s="50"/>
      <c r="S19" s="50"/>
      <c r="T19" s="51"/>
      <c r="U19" s="52">
        <v>2015</v>
      </c>
      <c r="V19" s="19">
        <v>2021</v>
      </c>
      <c r="W19" s="288"/>
      <c r="X19" s="298">
        <v>8.4</v>
      </c>
    </row>
    <row r="20" spans="1:25" s="48" customFormat="1" ht="55.2" x14ac:dyDescent="0.25">
      <c r="A20" s="38">
        <f>A19+1</f>
        <v>12</v>
      </c>
      <c r="B20" s="7" t="s">
        <v>60</v>
      </c>
      <c r="C20" s="25" t="s">
        <v>61</v>
      </c>
      <c r="D20" s="7" t="s">
        <v>62</v>
      </c>
      <c r="E20" s="7" t="s">
        <v>57</v>
      </c>
      <c r="F20" s="39">
        <v>361.18</v>
      </c>
      <c r="G20" s="39"/>
      <c r="H20" s="40" t="s">
        <v>57</v>
      </c>
      <c r="I20" s="49">
        <f t="shared" si="1"/>
        <v>100</v>
      </c>
      <c r="J20" s="23">
        <v>100</v>
      </c>
      <c r="K20" s="50"/>
      <c r="L20" s="51"/>
      <c r="M20" s="49">
        <f t="shared" si="2"/>
        <v>192</v>
      </c>
      <c r="N20" s="23">
        <f>182+10</f>
        <v>192</v>
      </c>
      <c r="O20" s="50"/>
      <c r="P20" s="51"/>
      <c r="Q20" s="49">
        <f t="shared" si="3"/>
        <v>193</v>
      </c>
      <c r="R20" s="23">
        <f>183+10</f>
        <v>193</v>
      </c>
      <c r="S20" s="50"/>
      <c r="T20" s="51"/>
      <c r="U20" s="52">
        <v>2018</v>
      </c>
      <c r="V20" s="19">
        <v>2023</v>
      </c>
      <c r="W20" s="288"/>
      <c r="X20" s="298"/>
    </row>
    <row r="21" spans="1:25" s="48" customFormat="1" ht="82.8" x14ac:dyDescent="0.25">
      <c r="A21" s="38">
        <f t="shared" si="0"/>
        <v>13</v>
      </c>
      <c r="B21" s="7" t="s">
        <v>63</v>
      </c>
      <c r="C21" s="25" t="s">
        <v>64</v>
      </c>
      <c r="D21" s="7" t="s">
        <v>65</v>
      </c>
      <c r="E21" s="7" t="s">
        <v>66</v>
      </c>
      <c r="F21" s="39">
        <f>9.13+50-19.2</f>
        <v>39.930000000000007</v>
      </c>
      <c r="G21" s="39"/>
      <c r="H21" s="40" t="s">
        <v>66</v>
      </c>
      <c r="I21" s="49">
        <f t="shared" si="1"/>
        <v>60.53</v>
      </c>
      <c r="J21" s="23">
        <f>120.33-59.8</f>
        <v>60.53</v>
      </c>
      <c r="K21" s="50"/>
      <c r="L21" s="51"/>
      <c r="M21" s="49">
        <f t="shared" si="2"/>
        <v>88.93</v>
      </c>
      <c r="N21" s="23">
        <v>88.93</v>
      </c>
      <c r="O21" s="50"/>
      <c r="P21" s="51"/>
      <c r="Q21" s="49">
        <f t="shared" si="3"/>
        <v>0</v>
      </c>
      <c r="R21" s="50"/>
      <c r="S21" s="50"/>
      <c r="T21" s="51"/>
      <c r="U21" s="47">
        <v>2019</v>
      </c>
      <c r="V21" s="19">
        <v>2021</v>
      </c>
      <c r="W21" s="288"/>
      <c r="X21" s="298">
        <v>59.8</v>
      </c>
      <c r="Y21" s="48" t="s">
        <v>388</v>
      </c>
    </row>
    <row r="22" spans="1:25" s="48" customFormat="1" ht="67.5" customHeight="1" x14ac:dyDescent="0.25">
      <c r="A22" s="38">
        <f>A21+1</f>
        <v>14</v>
      </c>
      <c r="B22" s="7" t="s">
        <v>67</v>
      </c>
      <c r="C22" s="25" t="s">
        <v>68</v>
      </c>
      <c r="D22" s="7" t="s">
        <v>69</v>
      </c>
      <c r="E22" s="7" t="s">
        <v>70</v>
      </c>
      <c r="F22" s="57">
        <f>72+45.7-41.39+0.04</f>
        <v>76.350000000000009</v>
      </c>
      <c r="G22" s="57"/>
      <c r="H22" s="40" t="s">
        <v>70</v>
      </c>
      <c r="I22" s="49">
        <f t="shared" si="1"/>
        <v>63.23</v>
      </c>
      <c r="J22" s="23">
        <f>38.23+25</f>
        <v>63.23</v>
      </c>
      <c r="K22" s="50"/>
      <c r="L22" s="51"/>
      <c r="M22" s="49">
        <f t="shared" si="2"/>
        <v>28</v>
      </c>
      <c r="N22" s="56">
        <f>53-25</f>
        <v>28</v>
      </c>
      <c r="O22" s="50"/>
      <c r="P22" s="51"/>
      <c r="Q22" s="49">
        <f t="shared" si="3"/>
        <v>0</v>
      </c>
      <c r="R22" s="50"/>
      <c r="S22" s="50"/>
      <c r="T22" s="51"/>
      <c r="U22" s="58">
        <v>2019</v>
      </c>
      <c r="V22" s="19">
        <v>2022</v>
      </c>
      <c r="W22" s="288">
        <v>25</v>
      </c>
      <c r="X22" s="298"/>
    </row>
    <row r="23" spans="1:25" s="48" customFormat="1" ht="55.2" x14ac:dyDescent="0.25">
      <c r="A23" s="38">
        <f t="shared" si="0"/>
        <v>15</v>
      </c>
      <c r="B23" s="7" t="s">
        <v>71</v>
      </c>
      <c r="C23" s="25" t="s">
        <v>72</v>
      </c>
      <c r="D23" s="7" t="s">
        <v>73</v>
      </c>
      <c r="E23" s="7" t="s">
        <v>74</v>
      </c>
      <c r="F23" s="57">
        <v>60</v>
      </c>
      <c r="G23" s="57">
        <f>10+5</f>
        <v>15</v>
      </c>
      <c r="H23" s="40" t="s">
        <v>74</v>
      </c>
      <c r="I23" s="49">
        <f t="shared" si="1"/>
        <v>126.71000000000001</v>
      </c>
      <c r="J23" s="23">
        <f>53.21+10-K23-L23+63.5</f>
        <v>110.71000000000001</v>
      </c>
      <c r="K23" s="50">
        <v>8</v>
      </c>
      <c r="L23" s="51">
        <v>8</v>
      </c>
      <c r="M23" s="49">
        <f t="shared" si="2"/>
        <v>45.89</v>
      </c>
      <c r="N23" s="56">
        <f>109.39-63.5</f>
        <v>45.89</v>
      </c>
      <c r="O23" s="50"/>
      <c r="P23" s="51"/>
      <c r="Q23" s="49">
        <f t="shared" si="3"/>
        <v>0</v>
      </c>
      <c r="R23" s="50"/>
      <c r="S23" s="50"/>
      <c r="T23" s="51"/>
      <c r="U23" s="58">
        <v>2020</v>
      </c>
      <c r="V23" s="19">
        <v>2022</v>
      </c>
      <c r="W23" s="288">
        <v>63.5</v>
      </c>
      <c r="X23" s="298"/>
    </row>
    <row r="24" spans="1:25" s="48" customFormat="1" ht="41.4" x14ac:dyDescent="0.25">
      <c r="A24" s="38">
        <f>A23+1</f>
        <v>16</v>
      </c>
      <c r="B24" s="7" t="s">
        <v>75</v>
      </c>
      <c r="C24" s="25" t="s">
        <v>76</v>
      </c>
      <c r="D24" s="7" t="s">
        <v>77</v>
      </c>
      <c r="E24" s="7" t="s">
        <v>57</v>
      </c>
      <c r="F24" s="57">
        <v>48</v>
      </c>
      <c r="G24" s="57">
        <v>20</v>
      </c>
      <c r="H24" s="40" t="s">
        <v>57</v>
      </c>
      <c r="I24" s="49">
        <f t="shared" si="1"/>
        <v>128</v>
      </c>
      <c r="J24" s="23">
        <v>90</v>
      </c>
      <c r="K24" s="50">
        <v>38</v>
      </c>
      <c r="L24" s="51"/>
      <c r="M24" s="49">
        <f t="shared" si="2"/>
        <v>0</v>
      </c>
      <c r="N24" s="50"/>
      <c r="O24" s="50"/>
      <c r="P24" s="51"/>
      <c r="Q24" s="49">
        <f t="shared" si="3"/>
        <v>0</v>
      </c>
      <c r="R24" s="50"/>
      <c r="S24" s="50"/>
      <c r="T24" s="51"/>
      <c r="U24" s="58">
        <v>2020</v>
      </c>
      <c r="V24" s="19">
        <v>2021</v>
      </c>
      <c r="W24" s="288"/>
      <c r="X24" s="298"/>
    </row>
    <row r="25" spans="1:25" s="48" customFormat="1" ht="41.4" x14ac:dyDescent="0.25">
      <c r="A25" s="38">
        <f t="shared" si="0"/>
        <v>17</v>
      </c>
      <c r="B25" s="7" t="s">
        <v>78</v>
      </c>
      <c r="C25" s="25" t="s">
        <v>79</v>
      </c>
      <c r="D25" s="7" t="s">
        <v>80</v>
      </c>
      <c r="E25" s="7" t="s">
        <v>81</v>
      </c>
      <c r="F25" s="57">
        <v>19.260000000000002</v>
      </c>
      <c r="G25" s="57">
        <v>417.98</v>
      </c>
      <c r="H25" s="40" t="s">
        <v>81</v>
      </c>
      <c r="I25" s="49">
        <f t="shared" si="1"/>
        <v>78</v>
      </c>
      <c r="J25" s="23">
        <v>60</v>
      </c>
      <c r="K25" s="50">
        <f>J25*30%</f>
        <v>18</v>
      </c>
      <c r="L25" s="51"/>
      <c r="M25" s="49">
        <f t="shared" si="2"/>
        <v>286</v>
      </c>
      <c r="N25" s="23">
        <v>220</v>
      </c>
      <c r="O25" s="50">
        <f>N25*30%</f>
        <v>66</v>
      </c>
      <c r="P25" s="51"/>
      <c r="Q25" s="49">
        <f t="shared" si="3"/>
        <v>286</v>
      </c>
      <c r="R25" s="23">
        <v>220</v>
      </c>
      <c r="S25" s="50">
        <f>R25*30%</f>
        <v>66</v>
      </c>
      <c r="T25" s="51"/>
      <c r="U25" s="58">
        <v>2020</v>
      </c>
      <c r="V25" s="27">
        <v>2023</v>
      </c>
      <c r="W25" s="288"/>
      <c r="X25" s="298"/>
    </row>
    <row r="26" spans="1:25" s="48" customFormat="1" ht="41.4" x14ac:dyDescent="0.25">
      <c r="A26" s="38">
        <f t="shared" si="0"/>
        <v>18</v>
      </c>
      <c r="B26" s="7" t="s">
        <v>82</v>
      </c>
      <c r="C26" s="25" t="s">
        <v>83</v>
      </c>
      <c r="D26" s="7" t="s">
        <v>84</v>
      </c>
      <c r="E26" s="7" t="s">
        <v>85</v>
      </c>
      <c r="F26" s="57">
        <f>30-30</f>
        <v>0</v>
      </c>
      <c r="G26" s="57">
        <f>10-10</f>
        <v>0</v>
      </c>
      <c r="H26" s="40" t="s">
        <v>85</v>
      </c>
      <c r="I26" s="49">
        <f t="shared" si="1"/>
        <v>135.51999999999998</v>
      </c>
      <c r="J26" s="23">
        <f>70+15.52</f>
        <v>85.52</v>
      </c>
      <c r="K26" s="50">
        <f>50</f>
        <v>50</v>
      </c>
      <c r="L26" s="51"/>
      <c r="M26" s="49">
        <f t="shared" si="2"/>
        <v>1.9300000000000033</v>
      </c>
      <c r="N26" s="23">
        <f>100-82.55-15.52-1.93</f>
        <v>3.3306690738754696E-15</v>
      </c>
      <c r="O26" s="50">
        <v>1.93</v>
      </c>
      <c r="P26" s="51"/>
      <c r="Q26" s="49">
        <f t="shared" si="3"/>
        <v>0</v>
      </c>
      <c r="R26" s="23">
        <f>59.3-59.3</f>
        <v>0</v>
      </c>
      <c r="S26" s="50"/>
      <c r="T26" s="51"/>
      <c r="U26" s="58">
        <v>2020</v>
      </c>
      <c r="V26" s="27">
        <v>2022</v>
      </c>
      <c r="W26" s="288">
        <v>15.52</v>
      </c>
      <c r="X26" s="298"/>
      <c r="Y26" s="48" t="s">
        <v>389</v>
      </c>
    </row>
    <row r="27" spans="1:25" s="48" customFormat="1" ht="78.75" customHeight="1" x14ac:dyDescent="0.25">
      <c r="A27" s="53">
        <f t="shared" si="0"/>
        <v>19</v>
      </c>
      <c r="B27" s="54" t="s">
        <v>384</v>
      </c>
      <c r="C27" s="54" t="s">
        <v>86</v>
      </c>
      <c r="D27" s="54" t="s">
        <v>87</v>
      </c>
      <c r="E27" s="7" t="s">
        <v>88</v>
      </c>
      <c r="F27" s="57">
        <v>50</v>
      </c>
      <c r="G27" s="57">
        <v>15</v>
      </c>
      <c r="H27" s="40" t="s">
        <v>88</v>
      </c>
      <c r="I27" s="49">
        <f t="shared" si="1"/>
        <v>22.19</v>
      </c>
      <c r="J27" s="23">
        <v>22.19</v>
      </c>
      <c r="K27" s="50"/>
      <c r="L27" s="51"/>
      <c r="M27" s="49">
        <f t="shared" si="2"/>
        <v>0</v>
      </c>
      <c r="N27" s="50"/>
      <c r="O27" s="50"/>
      <c r="P27" s="51"/>
      <c r="Q27" s="49">
        <f t="shared" si="3"/>
        <v>0</v>
      </c>
      <c r="R27" s="23"/>
      <c r="S27" s="50"/>
      <c r="T27" s="51"/>
      <c r="U27" s="58">
        <v>2020</v>
      </c>
      <c r="V27" s="19">
        <v>2021</v>
      </c>
      <c r="W27" s="288"/>
      <c r="X27" s="298"/>
    </row>
    <row r="28" spans="1:25" s="48" customFormat="1" ht="41.4" x14ac:dyDescent="0.25">
      <c r="A28" s="38">
        <f>A27+1</f>
        <v>20</v>
      </c>
      <c r="B28" s="7" t="s">
        <v>89</v>
      </c>
      <c r="C28" s="25" t="s">
        <v>90</v>
      </c>
      <c r="D28" s="7" t="s">
        <v>91</v>
      </c>
      <c r="E28" s="7" t="s">
        <v>92</v>
      </c>
      <c r="F28" s="57">
        <f>20+6.2</f>
        <v>26.2</v>
      </c>
      <c r="G28" s="57"/>
      <c r="H28" s="40" t="s">
        <v>92</v>
      </c>
      <c r="I28" s="49">
        <f t="shared" si="1"/>
        <v>75</v>
      </c>
      <c r="J28" s="23">
        <v>75</v>
      </c>
      <c r="K28" s="50"/>
      <c r="L28" s="51"/>
      <c r="M28" s="49">
        <f t="shared" si="2"/>
        <v>75.2</v>
      </c>
      <c r="N28" s="23">
        <v>75.2</v>
      </c>
      <c r="O28" s="50"/>
      <c r="P28" s="51"/>
      <c r="Q28" s="49">
        <f t="shared" si="3"/>
        <v>0</v>
      </c>
      <c r="R28" s="23"/>
      <c r="S28" s="50"/>
      <c r="T28" s="51"/>
      <c r="U28" s="58">
        <v>2020</v>
      </c>
      <c r="V28" s="19">
        <v>2022</v>
      </c>
      <c r="W28" s="288"/>
      <c r="X28" s="298"/>
    </row>
    <row r="29" spans="1:25" s="48" customFormat="1" ht="55.2" x14ac:dyDescent="0.25">
      <c r="A29" s="38">
        <f t="shared" si="0"/>
        <v>21</v>
      </c>
      <c r="B29" s="7" t="s">
        <v>93</v>
      </c>
      <c r="C29" s="25" t="s">
        <v>94</v>
      </c>
      <c r="D29" s="7" t="s">
        <v>95</v>
      </c>
      <c r="E29" s="7" t="s">
        <v>96</v>
      </c>
      <c r="F29" s="57">
        <f>40-30</f>
        <v>10</v>
      </c>
      <c r="G29" s="57"/>
      <c r="H29" s="40" t="s">
        <v>96</v>
      </c>
      <c r="I29" s="49">
        <f t="shared" si="1"/>
        <v>120</v>
      </c>
      <c r="J29" s="23">
        <v>120</v>
      </c>
      <c r="K29" s="50"/>
      <c r="L29" s="51"/>
      <c r="M29" s="49">
        <f t="shared" si="2"/>
        <v>234</v>
      </c>
      <c r="N29" s="23">
        <f>254-20</f>
        <v>234</v>
      </c>
      <c r="O29" s="50"/>
      <c r="P29" s="51"/>
      <c r="Q29" s="49">
        <f t="shared" si="3"/>
        <v>0</v>
      </c>
      <c r="R29" s="23"/>
      <c r="S29" s="50"/>
      <c r="T29" s="51"/>
      <c r="U29" s="58">
        <v>2020</v>
      </c>
      <c r="V29" s="27">
        <v>2022</v>
      </c>
      <c r="W29" s="288"/>
      <c r="X29" s="298"/>
    </row>
    <row r="30" spans="1:25" s="48" customFormat="1" ht="52.5" customHeight="1" x14ac:dyDescent="0.25">
      <c r="A30" s="38">
        <f t="shared" si="0"/>
        <v>22</v>
      </c>
      <c r="B30" s="7" t="s">
        <v>97</v>
      </c>
      <c r="C30" s="25" t="s">
        <v>98</v>
      </c>
      <c r="D30" s="7" t="s">
        <v>99</v>
      </c>
      <c r="E30" s="7" t="s">
        <v>100</v>
      </c>
      <c r="F30" s="57">
        <v>0</v>
      </c>
      <c r="G30" s="57">
        <v>0</v>
      </c>
      <c r="H30" s="40" t="s">
        <v>100</v>
      </c>
      <c r="I30" s="49">
        <f t="shared" si="1"/>
        <v>144</v>
      </c>
      <c r="J30" s="23">
        <v>120</v>
      </c>
      <c r="K30" s="50">
        <v>24</v>
      </c>
      <c r="L30" s="51"/>
      <c r="M30" s="49">
        <f t="shared" si="2"/>
        <v>124.7</v>
      </c>
      <c r="N30" s="23">
        <v>92.7</v>
      </c>
      <c r="O30" s="50">
        <v>32</v>
      </c>
      <c r="P30" s="51"/>
      <c r="Q30" s="49">
        <f t="shared" si="3"/>
        <v>284.67</v>
      </c>
      <c r="R30" s="23">
        <v>230</v>
      </c>
      <c r="S30" s="50">
        <v>54.67</v>
      </c>
      <c r="T30" s="51"/>
      <c r="U30" s="58">
        <v>2020</v>
      </c>
      <c r="V30" s="27">
        <v>2023</v>
      </c>
      <c r="W30" s="288"/>
      <c r="X30" s="298"/>
    </row>
    <row r="31" spans="1:25" s="48" customFormat="1" ht="95.25" customHeight="1" x14ac:dyDescent="0.25">
      <c r="A31" s="53">
        <f t="shared" si="0"/>
        <v>23</v>
      </c>
      <c r="B31" s="54" t="s">
        <v>385</v>
      </c>
      <c r="C31" s="54" t="s">
        <v>101</v>
      </c>
      <c r="D31" s="54" t="s">
        <v>102</v>
      </c>
      <c r="E31" s="7" t="s">
        <v>103</v>
      </c>
      <c r="F31" s="57">
        <f>48-48</f>
        <v>0</v>
      </c>
      <c r="G31" s="57">
        <f>18-18</f>
        <v>0</v>
      </c>
      <c r="H31" s="40" t="s">
        <v>103</v>
      </c>
      <c r="I31" s="49">
        <f t="shared" si="1"/>
        <v>59</v>
      </c>
      <c r="J31" s="23">
        <v>59</v>
      </c>
      <c r="K31" s="50"/>
      <c r="L31" s="51"/>
      <c r="M31" s="49">
        <f t="shared" si="2"/>
        <v>0</v>
      </c>
      <c r="N31" s="50"/>
      <c r="O31" s="50"/>
      <c r="P31" s="51"/>
      <c r="Q31" s="49">
        <f t="shared" si="3"/>
        <v>0</v>
      </c>
      <c r="R31" s="50"/>
      <c r="S31" s="50"/>
      <c r="T31" s="51"/>
      <c r="U31" s="59">
        <v>2020</v>
      </c>
      <c r="V31" s="15">
        <v>2021</v>
      </c>
      <c r="W31" s="288"/>
      <c r="X31" s="298"/>
    </row>
    <row r="32" spans="1:25" s="48" customFormat="1" ht="57.75" customHeight="1" x14ac:dyDescent="0.25">
      <c r="A32" s="38">
        <f>A31+1</f>
        <v>24</v>
      </c>
      <c r="B32" s="7" t="s">
        <v>104</v>
      </c>
      <c r="C32" s="25" t="s">
        <v>105</v>
      </c>
      <c r="D32" s="7" t="s">
        <v>26</v>
      </c>
      <c r="E32" s="7" t="s">
        <v>106</v>
      </c>
      <c r="F32" s="57">
        <v>120.82</v>
      </c>
      <c r="G32" s="57"/>
      <c r="H32" s="40" t="s">
        <v>107</v>
      </c>
      <c r="I32" s="49">
        <f t="shared" si="1"/>
        <v>11.2</v>
      </c>
      <c r="J32" s="23">
        <v>11.2</v>
      </c>
      <c r="K32" s="50"/>
      <c r="L32" s="51"/>
      <c r="M32" s="49">
        <f t="shared" si="2"/>
        <v>0</v>
      </c>
      <c r="N32" s="50"/>
      <c r="O32" s="50"/>
      <c r="P32" s="51"/>
      <c r="Q32" s="49">
        <f t="shared" si="3"/>
        <v>0</v>
      </c>
      <c r="R32" s="50"/>
      <c r="S32" s="50"/>
      <c r="T32" s="51"/>
      <c r="U32" s="58">
        <v>2020</v>
      </c>
      <c r="V32" s="19">
        <v>2021</v>
      </c>
      <c r="W32" s="288"/>
      <c r="X32" s="298"/>
    </row>
    <row r="33" spans="1:25" s="48" customFormat="1" ht="64.5" customHeight="1" x14ac:dyDescent="0.25">
      <c r="A33" s="25">
        <f t="shared" si="0"/>
        <v>25</v>
      </c>
      <c r="B33" s="7" t="s">
        <v>108</v>
      </c>
      <c r="C33" s="25" t="s">
        <v>109</v>
      </c>
      <c r="D33" s="7" t="s">
        <v>110</v>
      </c>
      <c r="E33" s="7" t="s">
        <v>111</v>
      </c>
      <c r="F33" s="19">
        <f>95.17+158.63+52.37</f>
        <v>306.17</v>
      </c>
      <c r="G33" s="19"/>
      <c r="H33" s="40" t="s">
        <v>111</v>
      </c>
      <c r="I33" s="49">
        <f t="shared" si="1"/>
        <v>110</v>
      </c>
      <c r="J33" s="11">
        <v>110</v>
      </c>
      <c r="K33" s="12"/>
      <c r="L33" s="13"/>
      <c r="M33" s="49">
        <f t="shared" si="2"/>
        <v>0</v>
      </c>
      <c r="N33" s="12"/>
      <c r="O33" s="12"/>
      <c r="P33" s="13"/>
      <c r="Q33" s="49">
        <f t="shared" si="3"/>
        <v>0</v>
      </c>
      <c r="R33" s="12"/>
      <c r="S33" s="12"/>
      <c r="T33" s="13"/>
      <c r="U33" s="58">
        <v>2019</v>
      </c>
      <c r="V33" s="19">
        <v>2021</v>
      </c>
      <c r="W33" s="288"/>
      <c r="X33" s="298"/>
    </row>
    <row r="34" spans="1:25" s="48" customFormat="1" ht="49.95" customHeight="1" x14ac:dyDescent="0.25">
      <c r="A34" s="60">
        <f t="shared" si="0"/>
        <v>26</v>
      </c>
      <c r="B34" s="61" t="s">
        <v>112</v>
      </c>
      <c r="C34" s="60" t="s">
        <v>113</v>
      </c>
      <c r="D34" s="61" t="s">
        <v>114</v>
      </c>
      <c r="E34" s="61" t="s">
        <v>57</v>
      </c>
      <c r="F34" s="15">
        <v>184.41</v>
      </c>
      <c r="G34" s="15"/>
      <c r="H34" s="62" t="s">
        <v>115</v>
      </c>
      <c r="I34" s="49">
        <f t="shared" si="1"/>
        <v>52.37</v>
      </c>
      <c r="J34" s="11">
        <v>52.37</v>
      </c>
      <c r="K34" s="12"/>
      <c r="L34" s="13"/>
      <c r="M34" s="49">
        <f t="shared" si="2"/>
        <v>100</v>
      </c>
      <c r="N34" s="11">
        <v>100</v>
      </c>
      <c r="O34" s="12"/>
      <c r="P34" s="13"/>
      <c r="Q34" s="49">
        <f t="shared" si="3"/>
        <v>98.64</v>
      </c>
      <c r="R34" s="63">
        <v>98.64</v>
      </c>
      <c r="S34" s="12"/>
      <c r="T34" s="13"/>
      <c r="U34" s="64">
        <v>2018</v>
      </c>
      <c r="V34" s="15">
        <v>2023</v>
      </c>
      <c r="W34" s="288"/>
      <c r="X34" s="299"/>
    </row>
    <row r="35" spans="1:25" s="48" customFormat="1" ht="69" x14ac:dyDescent="0.25">
      <c r="A35" s="25">
        <f t="shared" si="0"/>
        <v>27</v>
      </c>
      <c r="B35" s="7" t="s">
        <v>369</v>
      </c>
      <c r="C35" s="25" t="s">
        <v>116</v>
      </c>
      <c r="D35" s="7" t="s">
        <v>117</v>
      </c>
      <c r="E35" s="7" t="s">
        <v>118</v>
      </c>
      <c r="F35" s="57">
        <v>4.8</v>
      </c>
      <c r="G35" s="57">
        <v>2.2000000000000002</v>
      </c>
      <c r="H35" s="40" t="s">
        <v>119</v>
      </c>
      <c r="I35" s="65">
        <f t="shared" ref="I35:I41" si="4">SUM(J35:L35)</f>
        <v>9.0736000000000008</v>
      </c>
      <c r="J35" s="23">
        <f>8+1.8-0.7264</f>
        <v>9.0736000000000008</v>
      </c>
      <c r="K35" s="50"/>
      <c r="L35" s="51"/>
      <c r="M35" s="65">
        <f t="shared" ref="M35:M42" si="5">SUM(N35:P35)</f>
        <v>60</v>
      </c>
      <c r="N35" s="23">
        <v>60</v>
      </c>
      <c r="O35" s="50"/>
      <c r="P35" s="51"/>
      <c r="Q35" s="65">
        <f t="shared" ref="Q35:Q40" si="6">SUM(R35:T35)</f>
        <v>60</v>
      </c>
      <c r="R35" s="50">
        <v>60</v>
      </c>
      <c r="S35" s="50"/>
      <c r="T35" s="51"/>
      <c r="U35" s="58">
        <v>2020</v>
      </c>
      <c r="V35" s="27">
        <v>2023</v>
      </c>
      <c r="W35" s="288"/>
      <c r="X35" s="298">
        <v>0.72640000000000005</v>
      </c>
    </row>
    <row r="36" spans="1:25" s="48" customFormat="1" ht="82.2" customHeight="1" x14ac:dyDescent="0.25">
      <c r="A36" s="60">
        <f t="shared" si="0"/>
        <v>28</v>
      </c>
      <c r="B36" s="7" t="s">
        <v>370</v>
      </c>
      <c r="C36" s="25" t="s">
        <v>120</v>
      </c>
      <c r="D36" s="7" t="s">
        <v>117</v>
      </c>
      <c r="E36" s="7" t="s">
        <v>118</v>
      </c>
      <c r="F36" s="57">
        <v>2.82</v>
      </c>
      <c r="G36" s="57">
        <v>1.18</v>
      </c>
      <c r="H36" s="40" t="s">
        <v>119</v>
      </c>
      <c r="I36" s="65">
        <f t="shared" si="4"/>
        <v>6.0280000000000005</v>
      </c>
      <c r="J36" s="23">
        <f>5+1.5-0.472</f>
        <v>6.0280000000000005</v>
      </c>
      <c r="K36" s="50"/>
      <c r="L36" s="51"/>
      <c r="M36" s="65">
        <f t="shared" si="5"/>
        <v>80</v>
      </c>
      <c r="N36" s="23">
        <v>80</v>
      </c>
      <c r="O36" s="50"/>
      <c r="P36" s="51"/>
      <c r="Q36" s="65">
        <f t="shared" si="6"/>
        <v>0</v>
      </c>
      <c r="R36" s="50"/>
      <c r="S36" s="50"/>
      <c r="T36" s="51"/>
      <c r="U36" s="58">
        <v>2020</v>
      </c>
      <c r="V36" s="27">
        <v>2023</v>
      </c>
      <c r="W36" s="288"/>
      <c r="X36" s="298">
        <v>0.47199999999999998</v>
      </c>
    </row>
    <row r="37" spans="1:25" s="48" customFormat="1" ht="78.599999999999994" customHeight="1" x14ac:dyDescent="0.25">
      <c r="A37" s="38">
        <f t="shared" si="0"/>
        <v>29</v>
      </c>
      <c r="B37" s="7" t="s">
        <v>121</v>
      </c>
      <c r="C37" s="25" t="s">
        <v>122</v>
      </c>
      <c r="D37" s="7" t="s">
        <v>123</v>
      </c>
      <c r="E37" s="7" t="s">
        <v>118</v>
      </c>
      <c r="F37" s="57">
        <f>25.3-25.3</f>
        <v>0</v>
      </c>
      <c r="G37" s="57">
        <f>15-15</f>
        <v>0</v>
      </c>
      <c r="H37" s="40" t="s">
        <v>119</v>
      </c>
      <c r="I37" s="65">
        <f t="shared" si="4"/>
        <v>43.81</v>
      </c>
      <c r="J37" s="23">
        <f>40.4+3.41</f>
        <v>43.81</v>
      </c>
      <c r="K37" s="50"/>
      <c r="L37" s="51"/>
      <c r="M37" s="65">
        <f t="shared" si="5"/>
        <v>71.11</v>
      </c>
      <c r="N37" s="23">
        <v>71.11</v>
      </c>
      <c r="O37" s="50"/>
      <c r="P37" s="51"/>
      <c r="Q37" s="65">
        <f t="shared" si="6"/>
        <v>204.02</v>
      </c>
      <c r="R37" s="23">
        <v>204.02</v>
      </c>
      <c r="S37" s="50"/>
      <c r="T37" s="66"/>
      <c r="U37" s="58">
        <v>2020</v>
      </c>
      <c r="V37" s="27">
        <v>2023</v>
      </c>
      <c r="W37" s="288"/>
      <c r="X37" s="298"/>
    </row>
    <row r="38" spans="1:25" s="48" customFormat="1" ht="78" customHeight="1" x14ac:dyDescent="0.25">
      <c r="A38" s="38">
        <f t="shared" si="0"/>
        <v>30</v>
      </c>
      <c r="B38" s="61" t="s">
        <v>124</v>
      </c>
      <c r="C38" s="60" t="s">
        <v>125</v>
      </c>
      <c r="D38" s="61" t="s">
        <v>126</v>
      </c>
      <c r="E38" s="7" t="s">
        <v>127</v>
      </c>
      <c r="F38" s="57">
        <f>18.89-18.89</f>
        <v>0</v>
      </c>
      <c r="G38" s="57"/>
      <c r="H38" s="40" t="s">
        <v>128</v>
      </c>
      <c r="I38" s="65">
        <f t="shared" si="4"/>
        <v>22.274380000000001</v>
      </c>
      <c r="J38" s="23">
        <f>21.5+0.77438</f>
        <v>22.274380000000001</v>
      </c>
      <c r="K38" s="50"/>
      <c r="L38" s="51"/>
      <c r="M38" s="65">
        <f t="shared" si="5"/>
        <v>100</v>
      </c>
      <c r="N38" s="23">
        <v>100</v>
      </c>
      <c r="O38" s="50"/>
      <c r="P38" s="51"/>
      <c r="Q38" s="65">
        <f t="shared" si="6"/>
        <v>130</v>
      </c>
      <c r="R38" s="23">
        <v>130</v>
      </c>
      <c r="S38" s="50"/>
      <c r="T38" s="51"/>
      <c r="U38" s="58">
        <v>2020</v>
      </c>
      <c r="V38" s="27">
        <v>2023</v>
      </c>
      <c r="W38" s="288">
        <v>0.77437999999999996</v>
      </c>
      <c r="X38" s="298"/>
    </row>
    <row r="39" spans="1:25" s="48" customFormat="1" ht="76.2" customHeight="1" x14ac:dyDescent="0.25">
      <c r="A39" s="38">
        <f t="shared" si="0"/>
        <v>31</v>
      </c>
      <c r="B39" s="7" t="s">
        <v>129</v>
      </c>
      <c r="C39" s="25" t="s">
        <v>130</v>
      </c>
      <c r="D39" s="7" t="s">
        <v>126</v>
      </c>
      <c r="E39" s="7" t="s">
        <v>131</v>
      </c>
      <c r="F39" s="57">
        <f>17.98-17.98</f>
        <v>0</v>
      </c>
      <c r="G39" s="57"/>
      <c r="H39" s="40" t="s">
        <v>132</v>
      </c>
      <c r="I39" s="65">
        <f t="shared" si="4"/>
        <v>17.95</v>
      </c>
      <c r="J39" s="23">
        <v>17.95</v>
      </c>
      <c r="K39" s="50"/>
      <c r="L39" s="51"/>
      <c r="M39" s="65">
        <f t="shared" si="5"/>
        <v>80</v>
      </c>
      <c r="N39" s="23">
        <v>80</v>
      </c>
      <c r="O39" s="50"/>
      <c r="P39" s="51"/>
      <c r="Q39" s="65">
        <f t="shared" si="6"/>
        <v>110</v>
      </c>
      <c r="R39" s="23">
        <v>110</v>
      </c>
      <c r="S39" s="50"/>
      <c r="T39" s="51"/>
      <c r="U39" s="58">
        <v>2020</v>
      </c>
      <c r="V39" s="27">
        <v>2023</v>
      </c>
      <c r="W39" s="288"/>
      <c r="X39" s="298"/>
    </row>
    <row r="40" spans="1:25" s="48" customFormat="1" ht="77.25" customHeight="1" x14ac:dyDescent="0.25">
      <c r="A40" s="38">
        <f t="shared" si="0"/>
        <v>32</v>
      </c>
      <c r="B40" s="7" t="s">
        <v>133</v>
      </c>
      <c r="C40" s="25" t="s">
        <v>134</v>
      </c>
      <c r="D40" s="7" t="s">
        <v>135</v>
      </c>
      <c r="E40" s="7" t="s">
        <v>136</v>
      </c>
      <c r="F40" s="57">
        <f>37.23-37.23</f>
        <v>0</v>
      </c>
      <c r="G40" s="57">
        <v>11.14</v>
      </c>
      <c r="H40" s="40" t="s">
        <v>137</v>
      </c>
      <c r="I40" s="65">
        <f t="shared" si="4"/>
        <v>35.33</v>
      </c>
      <c r="J40" s="23">
        <v>35.33</v>
      </c>
      <c r="K40" s="50"/>
      <c r="L40" s="51"/>
      <c r="M40" s="65">
        <f t="shared" si="5"/>
        <v>0</v>
      </c>
      <c r="N40" s="23"/>
      <c r="O40" s="50"/>
      <c r="P40" s="51"/>
      <c r="Q40" s="65">
        <f t="shared" si="6"/>
        <v>0</v>
      </c>
      <c r="R40" s="23"/>
      <c r="S40" s="50"/>
      <c r="T40" s="51"/>
      <c r="U40" s="58">
        <v>2020</v>
      </c>
      <c r="V40" s="27">
        <v>2021</v>
      </c>
      <c r="W40" s="288"/>
      <c r="X40" s="298"/>
    </row>
    <row r="41" spans="1:25" s="68" customFormat="1" ht="81.75" customHeight="1" x14ac:dyDescent="0.25">
      <c r="A41" s="38">
        <f t="shared" si="0"/>
        <v>33</v>
      </c>
      <c r="B41" s="7" t="s">
        <v>138</v>
      </c>
      <c r="C41" s="25" t="s">
        <v>139</v>
      </c>
      <c r="D41" s="7" t="s">
        <v>140</v>
      </c>
      <c r="E41" s="7" t="s">
        <v>141</v>
      </c>
      <c r="F41" s="57">
        <f>11.4-11.4</f>
        <v>0</v>
      </c>
      <c r="G41" s="57">
        <f>5.1-5.1</f>
        <v>0</v>
      </c>
      <c r="H41" s="40" t="s">
        <v>142</v>
      </c>
      <c r="I41" s="65">
        <f t="shared" si="4"/>
        <v>17.7</v>
      </c>
      <c r="J41" s="23">
        <f>16.3+1.4</f>
        <v>17.7</v>
      </c>
      <c r="K41" s="50"/>
      <c r="L41" s="51"/>
      <c r="M41" s="65">
        <f t="shared" si="5"/>
        <v>60</v>
      </c>
      <c r="N41" s="23">
        <v>60</v>
      </c>
      <c r="O41" s="50"/>
      <c r="P41" s="67"/>
      <c r="Q41" s="65">
        <v>100</v>
      </c>
      <c r="R41" s="23">
        <v>100</v>
      </c>
      <c r="S41" s="50"/>
      <c r="T41" s="51"/>
      <c r="U41" s="58">
        <v>2020</v>
      </c>
      <c r="V41" s="27">
        <v>2023</v>
      </c>
      <c r="W41" s="289"/>
      <c r="X41" s="300"/>
    </row>
    <row r="42" spans="1:25" s="71" customFormat="1" ht="48" customHeight="1" x14ac:dyDescent="0.25">
      <c r="A42" s="53">
        <f t="shared" si="0"/>
        <v>34</v>
      </c>
      <c r="B42" s="61" t="s">
        <v>143</v>
      </c>
      <c r="C42" s="60" t="s">
        <v>144</v>
      </c>
      <c r="D42" s="61" t="s">
        <v>145</v>
      </c>
      <c r="E42" s="61" t="s">
        <v>146</v>
      </c>
      <c r="F42" s="69">
        <f>26.6-26.6</f>
        <v>0</v>
      </c>
      <c r="G42" s="69">
        <f>1-1</f>
        <v>0</v>
      </c>
      <c r="H42" s="62" t="s">
        <v>147</v>
      </c>
      <c r="I42" s="65">
        <f t="shared" ref="I42" si="7">SUM(J42:L42)</f>
        <v>30.02</v>
      </c>
      <c r="J42" s="23">
        <v>30.02</v>
      </c>
      <c r="K42" s="50"/>
      <c r="L42" s="51"/>
      <c r="M42" s="65">
        <f t="shared" si="5"/>
        <v>70</v>
      </c>
      <c r="N42" s="23">
        <v>70</v>
      </c>
      <c r="O42" s="50"/>
      <c r="P42" s="51"/>
      <c r="Q42" s="65">
        <f t="shared" ref="Q42" si="8">SUM(R42:T42)</f>
        <v>210</v>
      </c>
      <c r="R42" s="23">
        <v>210</v>
      </c>
      <c r="S42" s="50"/>
      <c r="T42" s="66"/>
      <c r="U42" s="64">
        <v>2020</v>
      </c>
      <c r="V42" s="70">
        <v>2023</v>
      </c>
      <c r="W42" s="288"/>
      <c r="X42" s="299"/>
      <c r="Y42" s="72"/>
    </row>
    <row r="43" spans="1:25" s="35" customFormat="1" ht="24" customHeight="1" thickBot="1" x14ac:dyDescent="0.35">
      <c r="A43" s="330" t="s">
        <v>371</v>
      </c>
      <c r="B43" s="330"/>
      <c r="C43" s="330"/>
      <c r="D43" s="330"/>
      <c r="E43" s="330"/>
      <c r="F43" s="330"/>
      <c r="G43" s="330"/>
      <c r="H43" s="331"/>
      <c r="I43" s="73">
        <f t="shared" ref="I43:S43" si="9">SUM(I9:I42)</f>
        <v>2393.1959799999991</v>
      </c>
      <c r="J43" s="74">
        <f t="shared" si="9"/>
        <v>2147.0499799999998</v>
      </c>
      <c r="K43" s="74">
        <f t="shared" si="9"/>
        <v>208.14600000000002</v>
      </c>
      <c r="L43" s="75">
        <f t="shared" si="9"/>
        <v>38</v>
      </c>
      <c r="M43" s="73">
        <f t="shared" si="9"/>
        <v>2159.7600000000002</v>
      </c>
      <c r="N43" s="74">
        <f t="shared" si="9"/>
        <v>2059.83</v>
      </c>
      <c r="O43" s="74">
        <f t="shared" si="9"/>
        <v>99.93</v>
      </c>
      <c r="P43" s="75">
        <f t="shared" si="9"/>
        <v>0</v>
      </c>
      <c r="Q43" s="73">
        <f t="shared" si="9"/>
        <v>2214.67</v>
      </c>
      <c r="R43" s="74">
        <f t="shared" si="9"/>
        <v>2094</v>
      </c>
      <c r="S43" s="74">
        <f t="shared" si="9"/>
        <v>120.67</v>
      </c>
      <c r="T43" s="76">
        <f>SUM(T9:T34)</f>
        <v>0</v>
      </c>
      <c r="U43" s="77"/>
      <c r="V43" s="78"/>
      <c r="W43" s="290"/>
      <c r="X43" s="301"/>
      <c r="Y43" s="79"/>
    </row>
    <row r="44" spans="1:25" s="35" customFormat="1" ht="25.5" customHeight="1" thickBot="1" x14ac:dyDescent="0.35">
      <c r="A44" s="78"/>
      <c r="B44" s="80" t="s">
        <v>349</v>
      </c>
      <c r="C44" s="81"/>
      <c r="D44" s="81"/>
      <c r="E44" s="81"/>
      <c r="F44" s="81"/>
      <c r="G44" s="81"/>
      <c r="H44" s="81"/>
      <c r="I44" s="82"/>
      <c r="J44" s="82"/>
      <c r="K44" s="82"/>
      <c r="L44" s="82"/>
      <c r="M44" s="82"/>
      <c r="N44" s="82"/>
      <c r="O44" s="82"/>
      <c r="P44" s="82"/>
      <c r="Q44" s="82"/>
      <c r="R44" s="82"/>
      <c r="S44" s="82"/>
      <c r="T44" s="83"/>
      <c r="U44" s="78"/>
      <c r="V44" s="78"/>
      <c r="W44" s="290"/>
      <c r="X44" s="301"/>
      <c r="Y44" s="79"/>
    </row>
    <row r="45" spans="1:25" s="35" customFormat="1" ht="50.25" customHeight="1" x14ac:dyDescent="0.3">
      <c r="A45" s="84">
        <v>35</v>
      </c>
      <c r="B45" s="8" t="s">
        <v>148</v>
      </c>
      <c r="C45" s="85" t="s">
        <v>149</v>
      </c>
      <c r="D45" s="86" t="s">
        <v>150</v>
      </c>
      <c r="E45" s="87"/>
      <c r="F45" s="88"/>
      <c r="G45" s="88"/>
      <c r="H45" s="89" t="s">
        <v>47</v>
      </c>
      <c r="I45" s="90">
        <f t="shared" ref="I45:I59" si="10">SUM(J45:L45)</f>
        <v>59</v>
      </c>
      <c r="J45" s="91">
        <v>39</v>
      </c>
      <c r="K45" s="92">
        <v>20</v>
      </c>
      <c r="L45" s="93"/>
      <c r="M45" s="90">
        <f t="shared" ref="M45:M59" si="11">SUM(N45:P45)</f>
        <v>43.2</v>
      </c>
      <c r="N45" s="91">
        <v>38.700000000000003</v>
      </c>
      <c r="O45" s="92">
        <v>4.5</v>
      </c>
      <c r="P45" s="93"/>
      <c r="Q45" s="90">
        <f t="shared" ref="Q45:Q59" si="12">SUM(R45:T45)</f>
        <v>43.2</v>
      </c>
      <c r="R45" s="91">
        <v>38.700000000000003</v>
      </c>
      <c r="S45" s="92">
        <v>4.5</v>
      </c>
      <c r="T45" s="93"/>
      <c r="U45" s="94">
        <v>2021</v>
      </c>
      <c r="V45" s="88">
        <v>2023</v>
      </c>
      <c r="W45" s="290"/>
      <c r="X45" s="301"/>
      <c r="Y45" s="79"/>
    </row>
    <row r="46" spans="1:25" s="35" customFormat="1" ht="71.25" customHeight="1" x14ac:dyDescent="0.3">
      <c r="A46" s="53">
        <v>36</v>
      </c>
      <c r="B46" s="9" t="s">
        <v>151</v>
      </c>
      <c r="C46" s="60" t="s">
        <v>152</v>
      </c>
      <c r="D46" s="61" t="s">
        <v>153</v>
      </c>
      <c r="E46" s="95"/>
      <c r="F46" s="15"/>
      <c r="G46" s="15"/>
      <c r="H46" s="62" t="s">
        <v>154</v>
      </c>
      <c r="I46" s="14">
        <f t="shared" si="10"/>
        <v>100</v>
      </c>
      <c r="J46" s="96">
        <v>50</v>
      </c>
      <c r="K46" s="97">
        <v>50</v>
      </c>
      <c r="L46" s="98"/>
      <c r="M46" s="14">
        <f t="shared" si="11"/>
        <v>59.879999999999995</v>
      </c>
      <c r="N46" s="96">
        <v>29.88</v>
      </c>
      <c r="O46" s="97">
        <v>30</v>
      </c>
      <c r="P46" s="98"/>
      <c r="Q46" s="14">
        <f t="shared" si="12"/>
        <v>0</v>
      </c>
      <c r="R46" s="96"/>
      <c r="S46" s="97"/>
      <c r="T46" s="98"/>
      <c r="U46" s="64">
        <v>2021</v>
      </c>
      <c r="V46" s="15">
        <v>2022</v>
      </c>
      <c r="W46" s="290"/>
      <c r="X46" s="301"/>
      <c r="Y46" s="79"/>
    </row>
    <row r="47" spans="1:25" s="35" customFormat="1" ht="57.75" customHeight="1" x14ac:dyDescent="0.3">
      <c r="A47" s="53">
        <f t="shared" ref="A47:A59" si="13">A46+1</f>
        <v>37</v>
      </c>
      <c r="B47" s="9" t="s">
        <v>155</v>
      </c>
      <c r="C47" s="60" t="s">
        <v>156</v>
      </c>
      <c r="D47" s="61" t="s">
        <v>22</v>
      </c>
      <c r="E47" s="95"/>
      <c r="F47" s="15"/>
      <c r="G47" s="15"/>
      <c r="H47" s="62" t="s">
        <v>157</v>
      </c>
      <c r="I47" s="14">
        <f t="shared" si="10"/>
        <v>292.34299999999996</v>
      </c>
      <c r="J47" s="96">
        <v>116</v>
      </c>
      <c r="K47" s="97"/>
      <c r="L47" s="98">
        <v>176.34299999999999</v>
      </c>
      <c r="M47" s="14">
        <f t="shared" si="11"/>
        <v>0</v>
      </c>
      <c r="N47" s="96"/>
      <c r="O47" s="97"/>
      <c r="P47" s="98"/>
      <c r="Q47" s="14">
        <f t="shared" si="12"/>
        <v>0</v>
      </c>
      <c r="R47" s="96"/>
      <c r="S47" s="97"/>
      <c r="T47" s="98"/>
      <c r="U47" s="64">
        <v>2021</v>
      </c>
      <c r="V47" s="15">
        <v>2021</v>
      </c>
      <c r="W47" s="290"/>
      <c r="X47" s="301"/>
      <c r="Y47" s="307" t="s">
        <v>390</v>
      </c>
    </row>
    <row r="48" spans="1:25" s="35" customFormat="1" ht="37.5" customHeight="1" x14ac:dyDescent="0.3">
      <c r="A48" s="53">
        <f t="shared" si="13"/>
        <v>38</v>
      </c>
      <c r="B48" s="9" t="s">
        <v>158</v>
      </c>
      <c r="C48" s="60" t="s">
        <v>159</v>
      </c>
      <c r="D48" s="61" t="s">
        <v>160</v>
      </c>
      <c r="E48" s="95"/>
      <c r="F48" s="15"/>
      <c r="G48" s="15"/>
      <c r="H48" s="62" t="s">
        <v>161</v>
      </c>
      <c r="I48" s="14">
        <f t="shared" si="10"/>
        <v>65</v>
      </c>
      <c r="J48" s="96">
        <v>50</v>
      </c>
      <c r="K48" s="97">
        <v>15</v>
      </c>
      <c r="L48" s="98"/>
      <c r="M48" s="14">
        <f t="shared" si="11"/>
        <v>54.59</v>
      </c>
      <c r="N48" s="96">
        <v>38.200000000000003</v>
      </c>
      <c r="O48" s="97">
        <v>16.39</v>
      </c>
      <c r="P48" s="98"/>
      <c r="Q48" s="14">
        <f t="shared" si="12"/>
        <v>0</v>
      </c>
      <c r="R48" s="96"/>
      <c r="S48" s="97"/>
      <c r="T48" s="98"/>
      <c r="U48" s="64">
        <v>2021</v>
      </c>
      <c r="V48" s="15">
        <v>2022</v>
      </c>
      <c r="W48" s="290"/>
      <c r="X48" s="301"/>
      <c r="Y48" s="79"/>
    </row>
    <row r="49" spans="1:25" s="35" customFormat="1" ht="49.5" customHeight="1" x14ac:dyDescent="0.3">
      <c r="A49" s="53">
        <f t="shared" si="13"/>
        <v>39</v>
      </c>
      <c r="B49" s="9" t="s">
        <v>162</v>
      </c>
      <c r="C49" s="60" t="s">
        <v>163</v>
      </c>
      <c r="D49" s="61" t="s">
        <v>164</v>
      </c>
      <c r="E49" s="95"/>
      <c r="F49" s="15"/>
      <c r="G49" s="15"/>
      <c r="H49" s="62" t="s">
        <v>165</v>
      </c>
      <c r="I49" s="14">
        <f t="shared" si="10"/>
        <v>114.4</v>
      </c>
      <c r="J49" s="96">
        <v>80</v>
      </c>
      <c r="K49" s="97">
        <v>34.4</v>
      </c>
      <c r="L49" s="98"/>
      <c r="M49" s="14">
        <f t="shared" si="11"/>
        <v>254</v>
      </c>
      <c r="N49" s="96">
        <v>145</v>
      </c>
      <c r="O49" s="97">
        <v>109</v>
      </c>
      <c r="P49" s="98"/>
      <c r="Q49" s="14">
        <f t="shared" si="12"/>
        <v>254</v>
      </c>
      <c r="R49" s="96">
        <v>145</v>
      </c>
      <c r="S49" s="97">
        <v>109</v>
      </c>
      <c r="T49" s="98"/>
      <c r="U49" s="64">
        <v>2021</v>
      </c>
      <c r="V49" s="15">
        <v>2023</v>
      </c>
      <c r="W49" s="290"/>
      <c r="X49" s="301"/>
      <c r="Y49" s="79"/>
    </row>
    <row r="50" spans="1:25" s="35" customFormat="1" ht="47.25" customHeight="1" x14ac:dyDescent="0.3">
      <c r="A50" s="53">
        <f t="shared" si="13"/>
        <v>40</v>
      </c>
      <c r="B50" s="9" t="s">
        <v>166</v>
      </c>
      <c r="C50" s="60" t="s">
        <v>167</v>
      </c>
      <c r="D50" s="61" t="s">
        <v>168</v>
      </c>
      <c r="E50" s="95"/>
      <c r="F50" s="15"/>
      <c r="G50" s="15"/>
      <c r="H50" s="62" t="s">
        <v>57</v>
      </c>
      <c r="I50" s="14">
        <f t="shared" si="10"/>
        <v>57</v>
      </c>
      <c r="J50" s="96">
        <v>40</v>
      </c>
      <c r="K50" s="97">
        <v>17</v>
      </c>
      <c r="L50" s="98"/>
      <c r="M50" s="14">
        <f t="shared" si="11"/>
        <v>0</v>
      </c>
      <c r="N50" s="96"/>
      <c r="O50" s="97"/>
      <c r="P50" s="98"/>
      <c r="Q50" s="14">
        <f t="shared" si="12"/>
        <v>0</v>
      </c>
      <c r="R50" s="96"/>
      <c r="S50" s="97"/>
      <c r="T50" s="98"/>
      <c r="U50" s="64">
        <v>2021</v>
      </c>
      <c r="V50" s="15">
        <v>2021</v>
      </c>
      <c r="W50" s="290"/>
      <c r="X50" s="301"/>
      <c r="Y50" s="79"/>
    </row>
    <row r="51" spans="1:25" s="35" customFormat="1" ht="38.25" customHeight="1" x14ac:dyDescent="0.3">
      <c r="A51" s="53">
        <f t="shared" si="13"/>
        <v>41</v>
      </c>
      <c r="B51" s="10" t="s">
        <v>169</v>
      </c>
      <c r="C51" s="25" t="s">
        <v>170</v>
      </c>
      <c r="D51" s="7" t="s">
        <v>171</v>
      </c>
      <c r="E51" s="99"/>
      <c r="F51" s="19"/>
      <c r="G51" s="19"/>
      <c r="H51" s="40" t="s">
        <v>172</v>
      </c>
      <c r="I51" s="14">
        <f t="shared" si="10"/>
        <v>39</v>
      </c>
      <c r="J51" s="11">
        <v>30</v>
      </c>
      <c r="K51" s="12">
        <v>9</v>
      </c>
      <c r="L51" s="13"/>
      <c r="M51" s="14">
        <f t="shared" si="11"/>
        <v>50.78</v>
      </c>
      <c r="N51" s="11">
        <v>35.549999999999997</v>
      </c>
      <c r="O51" s="12">
        <v>15.23</v>
      </c>
      <c r="P51" s="13"/>
      <c r="Q51" s="14">
        <f t="shared" si="12"/>
        <v>0</v>
      </c>
      <c r="R51" s="11"/>
      <c r="S51" s="12"/>
      <c r="T51" s="13"/>
      <c r="U51" s="58">
        <v>2021</v>
      </c>
      <c r="V51" s="19">
        <v>2022</v>
      </c>
      <c r="W51" s="290"/>
      <c r="X51" s="301"/>
      <c r="Y51" s="79"/>
    </row>
    <row r="52" spans="1:25" s="35" customFormat="1" ht="37.5" customHeight="1" x14ac:dyDescent="0.3">
      <c r="A52" s="53">
        <f t="shared" si="13"/>
        <v>42</v>
      </c>
      <c r="B52" s="10" t="s">
        <v>173</v>
      </c>
      <c r="C52" s="25" t="s">
        <v>174</v>
      </c>
      <c r="D52" s="7" t="s">
        <v>175</v>
      </c>
      <c r="E52" s="99"/>
      <c r="F52" s="19"/>
      <c r="G52" s="19"/>
      <c r="H52" s="40" t="s">
        <v>176</v>
      </c>
      <c r="I52" s="14">
        <f t="shared" si="10"/>
        <v>100</v>
      </c>
      <c r="J52" s="11">
        <v>50</v>
      </c>
      <c r="K52" s="12">
        <f>27+23</f>
        <v>50</v>
      </c>
      <c r="L52" s="13"/>
      <c r="M52" s="14">
        <f t="shared" si="11"/>
        <v>176.5</v>
      </c>
      <c r="N52" s="11">
        <v>90</v>
      </c>
      <c r="O52" s="12">
        <v>86.5</v>
      </c>
      <c r="P52" s="13"/>
      <c r="Q52" s="14">
        <f t="shared" si="12"/>
        <v>256.5</v>
      </c>
      <c r="R52" s="11">
        <v>170</v>
      </c>
      <c r="S52" s="12">
        <v>86.5</v>
      </c>
      <c r="T52" s="13"/>
      <c r="U52" s="58">
        <v>2021</v>
      </c>
      <c r="V52" s="19">
        <v>2023</v>
      </c>
      <c r="W52" s="290"/>
      <c r="X52" s="301"/>
      <c r="Y52" s="307" t="s">
        <v>391</v>
      </c>
    </row>
    <row r="53" spans="1:25" s="35" customFormat="1" ht="41.25" customHeight="1" x14ac:dyDescent="0.3">
      <c r="A53" s="53">
        <f t="shared" si="13"/>
        <v>43</v>
      </c>
      <c r="B53" s="10" t="s">
        <v>177</v>
      </c>
      <c r="C53" s="25" t="s">
        <v>178</v>
      </c>
      <c r="D53" s="7" t="s">
        <v>179</v>
      </c>
      <c r="E53" s="99"/>
      <c r="F53" s="19"/>
      <c r="G53" s="19"/>
      <c r="H53" s="40" t="s">
        <v>180</v>
      </c>
      <c r="I53" s="14">
        <f t="shared" si="10"/>
        <v>100</v>
      </c>
      <c r="J53" s="11">
        <v>80</v>
      </c>
      <c r="K53" s="12">
        <v>20</v>
      </c>
      <c r="L53" s="13"/>
      <c r="M53" s="14">
        <f t="shared" si="11"/>
        <v>170</v>
      </c>
      <c r="N53" s="11">
        <v>130</v>
      </c>
      <c r="O53" s="12">
        <v>40</v>
      </c>
      <c r="P53" s="13"/>
      <c r="Q53" s="14">
        <f t="shared" si="12"/>
        <v>169</v>
      </c>
      <c r="R53" s="11">
        <v>125.2</v>
      </c>
      <c r="S53" s="12">
        <v>43.8</v>
      </c>
      <c r="T53" s="13"/>
      <c r="U53" s="58">
        <v>2021</v>
      </c>
      <c r="V53" s="19">
        <v>2023</v>
      </c>
      <c r="W53" s="290"/>
      <c r="X53" s="301"/>
      <c r="Y53" s="79"/>
    </row>
    <row r="54" spans="1:25" s="35" customFormat="1" ht="48.75" customHeight="1" x14ac:dyDescent="0.3">
      <c r="A54" s="53">
        <f t="shared" si="13"/>
        <v>44</v>
      </c>
      <c r="B54" s="9" t="s">
        <v>181</v>
      </c>
      <c r="C54" s="60" t="s">
        <v>182</v>
      </c>
      <c r="D54" s="61" t="s">
        <v>183</v>
      </c>
      <c r="E54" s="95"/>
      <c r="F54" s="15"/>
      <c r="G54" s="15"/>
      <c r="H54" s="62" t="s">
        <v>184</v>
      </c>
      <c r="I54" s="14">
        <f t="shared" si="10"/>
        <v>80</v>
      </c>
      <c r="J54" s="96">
        <v>40</v>
      </c>
      <c r="K54" s="97">
        <v>40</v>
      </c>
      <c r="L54" s="98"/>
      <c r="M54" s="14">
        <f t="shared" si="11"/>
        <v>202</v>
      </c>
      <c r="N54" s="96">
        <v>96</v>
      </c>
      <c r="O54" s="97">
        <v>106</v>
      </c>
      <c r="P54" s="98"/>
      <c r="Q54" s="14">
        <f t="shared" si="12"/>
        <v>212</v>
      </c>
      <c r="R54" s="96">
        <v>106</v>
      </c>
      <c r="S54" s="97">
        <v>106</v>
      </c>
      <c r="T54" s="98"/>
      <c r="U54" s="64">
        <v>2021</v>
      </c>
      <c r="V54" s="15">
        <v>2023</v>
      </c>
      <c r="W54" s="290"/>
      <c r="X54" s="301"/>
      <c r="Y54" s="79"/>
    </row>
    <row r="55" spans="1:25" s="35" customFormat="1" ht="64.5" customHeight="1" x14ac:dyDescent="0.3">
      <c r="A55" s="53">
        <f t="shared" si="13"/>
        <v>45</v>
      </c>
      <c r="B55" s="9" t="s">
        <v>185</v>
      </c>
      <c r="C55" s="60" t="s">
        <v>186</v>
      </c>
      <c r="D55" s="7" t="s">
        <v>187</v>
      </c>
      <c r="E55" s="99"/>
      <c r="F55" s="19"/>
      <c r="G55" s="19"/>
      <c r="H55" s="40" t="s">
        <v>57</v>
      </c>
      <c r="I55" s="14">
        <f t="shared" si="10"/>
        <v>80</v>
      </c>
      <c r="J55" s="11">
        <v>40</v>
      </c>
      <c r="K55" s="12">
        <v>40</v>
      </c>
      <c r="L55" s="13"/>
      <c r="M55" s="14">
        <f t="shared" si="11"/>
        <v>14</v>
      </c>
      <c r="N55" s="11">
        <v>7</v>
      </c>
      <c r="O55" s="12">
        <v>7</v>
      </c>
      <c r="P55" s="13"/>
      <c r="Q55" s="14">
        <f t="shared" si="12"/>
        <v>13</v>
      </c>
      <c r="R55" s="11">
        <v>6.5</v>
      </c>
      <c r="S55" s="12">
        <v>6.5</v>
      </c>
      <c r="T55" s="13"/>
      <c r="U55" s="64">
        <v>2021</v>
      </c>
      <c r="V55" s="15">
        <v>2023</v>
      </c>
      <c r="W55" s="290"/>
      <c r="X55" s="301"/>
      <c r="Y55" s="79"/>
    </row>
    <row r="56" spans="1:25" s="35" customFormat="1" ht="39.75" customHeight="1" x14ac:dyDescent="0.3">
      <c r="A56" s="53">
        <f t="shared" si="13"/>
        <v>46</v>
      </c>
      <c r="B56" s="9" t="s">
        <v>188</v>
      </c>
      <c r="C56" s="60" t="s">
        <v>189</v>
      </c>
      <c r="D56" s="7" t="s">
        <v>190</v>
      </c>
      <c r="E56" s="99"/>
      <c r="F56" s="19"/>
      <c r="G56" s="19"/>
      <c r="H56" s="40" t="s">
        <v>57</v>
      </c>
      <c r="I56" s="14">
        <f t="shared" si="10"/>
        <v>27.33</v>
      </c>
      <c r="J56" s="11">
        <f>30-10</f>
        <v>20</v>
      </c>
      <c r="K56" s="12">
        <f>11-3.67</f>
        <v>7.33</v>
      </c>
      <c r="L56" s="13"/>
      <c r="M56" s="14">
        <f t="shared" si="11"/>
        <v>87.65</v>
      </c>
      <c r="N56" s="11">
        <v>64</v>
      </c>
      <c r="O56" s="12">
        <v>23.65</v>
      </c>
      <c r="P56" s="13"/>
      <c r="Q56" s="14">
        <f t="shared" si="12"/>
        <v>0</v>
      </c>
      <c r="R56" s="11"/>
      <c r="S56" s="12"/>
      <c r="T56" s="13"/>
      <c r="U56" s="64">
        <v>2021</v>
      </c>
      <c r="V56" s="15">
        <v>2022</v>
      </c>
      <c r="W56" s="290"/>
      <c r="X56" s="301">
        <v>10</v>
      </c>
      <c r="Y56" s="79"/>
    </row>
    <row r="57" spans="1:25" s="35" customFormat="1" ht="141.75" customHeight="1" x14ac:dyDescent="0.3">
      <c r="A57" s="53">
        <f t="shared" si="13"/>
        <v>47</v>
      </c>
      <c r="B57" s="9" t="s">
        <v>191</v>
      </c>
      <c r="C57" s="60" t="s">
        <v>192</v>
      </c>
      <c r="D57" s="7" t="s">
        <v>193</v>
      </c>
      <c r="E57" s="99"/>
      <c r="F57" s="19"/>
      <c r="G57" s="19"/>
      <c r="H57" s="40" t="s">
        <v>194</v>
      </c>
      <c r="I57" s="14">
        <f t="shared" si="10"/>
        <v>80</v>
      </c>
      <c r="J57" s="11">
        <v>40</v>
      </c>
      <c r="K57" s="12">
        <v>10</v>
      </c>
      <c r="L57" s="13">
        <v>30</v>
      </c>
      <c r="M57" s="14">
        <f t="shared" si="11"/>
        <v>15.63</v>
      </c>
      <c r="N57" s="11">
        <v>15.63</v>
      </c>
      <c r="O57" s="12"/>
      <c r="P57" s="13"/>
      <c r="Q57" s="14">
        <f t="shared" si="12"/>
        <v>0</v>
      </c>
      <c r="R57" s="11"/>
      <c r="S57" s="12"/>
      <c r="T57" s="13"/>
      <c r="U57" s="64">
        <v>2021</v>
      </c>
      <c r="V57" s="15">
        <v>2022</v>
      </c>
      <c r="W57" s="290"/>
      <c r="X57" s="301"/>
      <c r="Y57" s="79"/>
    </row>
    <row r="58" spans="1:25" s="35" customFormat="1" ht="63.75" customHeight="1" x14ac:dyDescent="0.3">
      <c r="A58" s="53">
        <f t="shared" si="13"/>
        <v>48</v>
      </c>
      <c r="B58" s="9" t="s">
        <v>366</v>
      </c>
      <c r="C58" s="60" t="s">
        <v>195</v>
      </c>
      <c r="D58" s="7" t="s">
        <v>153</v>
      </c>
      <c r="E58" s="99"/>
      <c r="F58" s="19"/>
      <c r="G58" s="19"/>
      <c r="H58" s="40" t="s">
        <v>196</v>
      </c>
      <c r="I58" s="14">
        <f t="shared" si="10"/>
        <v>10.9</v>
      </c>
      <c r="J58" s="11">
        <v>8.8000000000000007</v>
      </c>
      <c r="K58" s="12">
        <v>2.1</v>
      </c>
      <c r="L58" s="13"/>
      <c r="M58" s="14">
        <f t="shared" si="11"/>
        <v>20</v>
      </c>
      <c r="N58" s="11">
        <v>20</v>
      </c>
      <c r="O58" s="12"/>
      <c r="P58" s="13"/>
      <c r="Q58" s="14">
        <f t="shared" si="12"/>
        <v>50</v>
      </c>
      <c r="R58" s="11">
        <v>50</v>
      </c>
      <c r="S58" s="12"/>
      <c r="T58" s="13"/>
      <c r="U58" s="64">
        <v>2021</v>
      </c>
      <c r="V58" s="15">
        <v>2023</v>
      </c>
      <c r="W58" s="290"/>
      <c r="X58" s="301"/>
      <c r="Y58" s="79"/>
    </row>
    <row r="59" spans="1:25" s="35" customFormat="1" ht="49.5" customHeight="1" thickBot="1" x14ac:dyDescent="0.35">
      <c r="A59" s="53">
        <f t="shared" si="13"/>
        <v>49</v>
      </c>
      <c r="B59" s="9" t="s">
        <v>197</v>
      </c>
      <c r="C59" s="60" t="s">
        <v>198</v>
      </c>
      <c r="D59" s="61" t="s">
        <v>199</v>
      </c>
      <c r="E59" s="95"/>
      <c r="F59" s="15"/>
      <c r="G59" s="15"/>
      <c r="H59" s="62" t="s">
        <v>200</v>
      </c>
      <c r="I59" s="100">
        <f t="shared" si="10"/>
        <v>98.5</v>
      </c>
      <c r="J59" s="101">
        <v>59.1</v>
      </c>
      <c r="K59" s="102">
        <v>39.4</v>
      </c>
      <c r="L59" s="103"/>
      <c r="M59" s="100">
        <f t="shared" si="11"/>
        <v>30</v>
      </c>
      <c r="N59" s="101">
        <v>30</v>
      </c>
      <c r="O59" s="102"/>
      <c r="P59" s="103"/>
      <c r="Q59" s="100">
        <f t="shared" si="12"/>
        <v>50</v>
      </c>
      <c r="R59" s="101">
        <v>50</v>
      </c>
      <c r="S59" s="102"/>
      <c r="T59" s="103"/>
      <c r="U59" s="64">
        <v>2021</v>
      </c>
      <c r="V59" s="15">
        <v>2023</v>
      </c>
      <c r="W59" s="290"/>
      <c r="X59" s="301"/>
      <c r="Y59" s="79"/>
    </row>
    <row r="60" spans="1:25" s="35" customFormat="1" ht="25.5" customHeight="1" x14ac:dyDescent="0.3">
      <c r="A60" s="320" t="s">
        <v>201</v>
      </c>
      <c r="B60" s="320"/>
      <c r="C60" s="320"/>
      <c r="D60" s="320"/>
      <c r="E60" s="320"/>
      <c r="F60" s="320"/>
      <c r="G60" s="320"/>
      <c r="H60" s="320"/>
      <c r="I60" s="104">
        <f>SUM(I45:I59)</f>
        <v>1303.473</v>
      </c>
      <c r="J60" s="104">
        <f t="shared" ref="J60:S60" si="14">SUM(J45:J59)</f>
        <v>742.9</v>
      </c>
      <c r="K60" s="104">
        <f t="shared" si="14"/>
        <v>354.22999999999996</v>
      </c>
      <c r="L60" s="104">
        <f t="shared" si="14"/>
        <v>206.34299999999999</v>
      </c>
      <c r="M60" s="104">
        <f t="shared" si="14"/>
        <v>1178.2300000000002</v>
      </c>
      <c r="N60" s="104">
        <f t="shared" si="14"/>
        <v>739.95999999999992</v>
      </c>
      <c r="O60" s="104">
        <f t="shared" si="14"/>
        <v>438.27</v>
      </c>
      <c r="P60" s="104">
        <f t="shared" si="14"/>
        <v>0</v>
      </c>
      <c r="Q60" s="104">
        <f t="shared" si="14"/>
        <v>1047.7</v>
      </c>
      <c r="R60" s="104">
        <f t="shared" si="14"/>
        <v>691.4</v>
      </c>
      <c r="S60" s="104">
        <f t="shared" si="14"/>
        <v>356.3</v>
      </c>
      <c r="T60" s="104">
        <f>SUM(T45:T59)</f>
        <v>0</v>
      </c>
      <c r="U60" s="105"/>
      <c r="V60" s="105"/>
      <c r="W60" s="290"/>
      <c r="X60" s="301"/>
      <c r="Y60" s="79"/>
    </row>
    <row r="61" spans="1:25" s="48" customFormat="1" ht="21" customHeight="1" thickBot="1" x14ac:dyDescent="0.3">
      <c r="A61" s="106"/>
      <c r="B61" s="335" t="s">
        <v>367</v>
      </c>
      <c r="C61" s="336"/>
      <c r="D61" s="336"/>
      <c r="E61" s="336"/>
      <c r="F61" s="336"/>
      <c r="G61" s="336"/>
      <c r="H61" s="336"/>
      <c r="I61" s="336"/>
      <c r="J61" s="336"/>
      <c r="K61" s="336"/>
      <c r="L61" s="336"/>
      <c r="M61" s="336"/>
      <c r="N61" s="336"/>
      <c r="O61" s="336"/>
      <c r="P61" s="336"/>
      <c r="Q61" s="336"/>
      <c r="R61" s="336"/>
      <c r="S61" s="336"/>
      <c r="T61" s="336"/>
      <c r="U61" s="336"/>
      <c r="V61" s="337"/>
      <c r="W61" s="288"/>
      <c r="X61" s="298"/>
    </row>
    <row r="62" spans="1:25" ht="49.5" customHeight="1" x14ac:dyDescent="0.3">
      <c r="A62" s="38">
        <v>50</v>
      </c>
      <c r="B62" s="10" t="s">
        <v>202</v>
      </c>
      <c r="C62" s="25" t="s">
        <v>203</v>
      </c>
      <c r="D62" s="7" t="s">
        <v>204</v>
      </c>
      <c r="E62" s="7"/>
      <c r="F62" s="107"/>
      <c r="G62" s="107"/>
      <c r="H62" s="108" t="s">
        <v>368</v>
      </c>
      <c r="I62" s="90">
        <f>SUM(J62:L62)</f>
        <v>15.29</v>
      </c>
      <c r="J62" s="109">
        <v>12.29</v>
      </c>
      <c r="K62" s="110">
        <v>3</v>
      </c>
      <c r="L62" s="111"/>
      <c r="M62" s="112"/>
      <c r="N62" s="109"/>
      <c r="O62" s="109"/>
      <c r="P62" s="113"/>
      <c r="Q62" s="112"/>
      <c r="R62" s="109"/>
      <c r="S62" s="109"/>
      <c r="T62" s="113"/>
      <c r="U62" s="114">
        <v>2021</v>
      </c>
      <c r="V62" s="19">
        <v>2021</v>
      </c>
    </row>
    <row r="63" spans="1:25" ht="41.4" x14ac:dyDescent="0.3">
      <c r="A63" s="38">
        <v>51</v>
      </c>
      <c r="B63" s="10" t="s">
        <v>205</v>
      </c>
      <c r="C63" s="25" t="s">
        <v>206</v>
      </c>
      <c r="D63" s="7" t="s">
        <v>207</v>
      </c>
      <c r="E63" s="99"/>
      <c r="F63" s="107"/>
      <c r="G63" s="107"/>
      <c r="H63" s="40" t="s">
        <v>368</v>
      </c>
      <c r="I63" s="14">
        <f t="shared" ref="I63:I64" si="15">SUM(J63:L63)</f>
        <v>28.8</v>
      </c>
      <c r="J63" s="11">
        <v>18.8</v>
      </c>
      <c r="K63" s="12">
        <v>10</v>
      </c>
      <c r="L63" s="13"/>
      <c r="M63" s="115"/>
      <c r="N63" s="11"/>
      <c r="O63" s="11"/>
      <c r="P63" s="116"/>
      <c r="Q63" s="115"/>
      <c r="R63" s="11"/>
      <c r="S63" s="11"/>
      <c r="T63" s="116"/>
      <c r="U63" s="58">
        <v>2021</v>
      </c>
      <c r="V63" s="19">
        <v>2021</v>
      </c>
    </row>
    <row r="64" spans="1:25" ht="42" thickBot="1" x14ac:dyDescent="0.35">
      <c r="A64" s="53">
        <v>52</v>
      </c>
      <c r="B64" s="16" t="s">
        <v>208</v>
      </c>
      <c r="C64" s="60" t="s">
        <v>209</v>
      </c>
      <c r="D64" s="95" t="s">
        <v>210</v>
      </c>
      <c r="E64" s="117"/>
      <c r="F64" s="118"/>
      <c r="G64" s="118"/>
      <c r="H64" s="62" t="s">
        <v>368</v>
      </c>
      <c r="I64" s="100">
        <f t="shared" si="15"/>
        <v>48.33</v>
      </c>
      <c r="J64" s="101">
        <v>48.33</v>
      </c>
      <c r="K64" s="102">
        <v>0</v>
      </c>
      <c r="L64" s="103"/>
      <c r="M64" s="119"/>
      <c r="N64" s="101"/>
      <c r="O64" s="101"/>
      <c r="P64" s="120"/>
      <c r="Q64" s="119"/>
      <c r="R64" s="101"/>
      <c r="S64" s="101"/>
      <c r="T64" s="120"/>
      <c r="U64" s="64">
        <v>2021</v>
      </c>
      <c r="V64" s="15">
        <v>2021</v>
      </c>
    </row>
    <row r="65" spans="1:24" s="121" customFormat="1" ht="25.5" customHeight="1" x14ac:dyDescent="0.3">
      <c r="A65" s="332" t="s">
        <v>372</v>
      </c>
      <c r="B65" s="333"/>
      <c r="C65" s="333"/>
      <c r="D65" s="333"/>
      <c r="E65" s="333"/>
      <c r="F65" s="333"/>
      <c r="G65" s="333"/>
      <c r="H65" s="334"/>
      <c r="I65" s="104">
        <f>SUM(I62:I64)</f>
        <v>92.42</v>
      </c>
      <c r="J65" s="104">
        <f t="shared" ref="J65:T65" si="16">SUM(J62:J64)</f>
        <v>79.42</v>
      </c>
      <c r="K65" s="104">
        <f t="shared" si="16"/>
        <v>13</v>
      </c>
      <c r="L65" s="104">
        <f t="shared" si="16"/>
        <v>0</v>
      </c>
      <c r="M65" s="104">
        <f t="shared" si="16"/>
        <v>0</v>
      </c>
      <c r="N65" s="104">
        <f t="shared" si="16"/>
        <v>0</v>
      </c>
      <c r="O65" s="104">
        <f t="shared" si="16"/>
        <v>0</v>
      </c>
      <c r="P65" s="104">
        <f t="shared" si="16"/>
        <v>0</v>
      </c>
      <c r="Q65" s="104">
        <f t="shared" si="16"/>
        <v>0</v>
      </c>
      <c r="R65" s="104">
        <f t="shared" si="16"/>
        <v>0</v>
      </c>
      <c r="S65" s="104">
        <f t="shared" si="16"/>
        <v>0</v>
      </c>
      <c r="T65" s="104">
        <f t="shared" si="16"/>
        <v>0</v>
      </c>
      <c r="U65" s="105"/>
      <c r="V65" s="105"/>
      <c r="W65" s="291"/>
      <c r="X65" s="302"/>
    </row>
    <row r="66" spans="1:24" s="121" customFormat="1" ht="25.5" customHeight="1" x14ac:dyDescent="0.3">
      <c r="A66" s="320" t="s">
        <v>373</v>
      </c>
      <c r="B66" s="320"/>
      <c r="C66" s="320"/>
      <c r="D66" s="320"/>
      <c r="E66" s="320"/>
      <c r="F66" s="320"/>
      <c r="G66" s="320"/>
      <c r="H66" s="320"/>
      <c r="I66" s="104">
        <f t="shared" ref="I66:T66" si="17">SUM(I43,I60,I65)</f>
        <v>3789.0889799999991</v>
      </c>
      <c r="J66" s="104">
        <f t="shared" si="17"/>
        <v>2969.3699799999999</v>
      </c>
      <c r="K66" s="104">
        <f t="shared" si="17"/>
        <v>575.37599999999998</v>
      </c>
      <c r="L66" s="104">
        <f t="shared" si="17"/>
        <v>244.34299999999999</v>
      </c>
      <c r="M66" s="104">
        <f t="shared" si="17"/>
        <v>3337.9900000000007</v>
      </c>
      <c r="N66" s="104">
        <f t="shared" si="17"/>
        <v>2799.79</v>
      </c>
      <c r="O66" s="104">
        <f t="shared" si="17"/>
        <v>538.20000000000005</v>
      </c>
      <c r="P66" s="104">
        <f t="shared" si="17"/>
        <v>0</v>
      </c>
      <c r="Q66" s="104">
        <f t="shared" si="17"/>
        <v>3262.37</v>
      </c>
      <c r="R66" s="104">
        <f t="shared" si="17"/>
        <v>2785.4</v>
      </c>
      <c r="S66" s="104">
        <f t="shared" si="17"/>
        <v>476.97</v>
      </c>
      <c r="T66" s="104">
        <f t="shared" si="17"/>
        <v>0</v>
      </c>
      <c r="U66" s="105"/>
      <c r="V66" s="105"/>
      <c r="W66" s="291"/>
      <c r="X66" s="302"/>
    </row>
    <row r="68" spans="1:24" ht="28.5" customHeight="1" thickBot="1" x14ac:dyDescent="0.35">
      <c r="A68" s="323" t="s">
        <v>360</v>
      </c>
      <c r="B68" s="324"/>
      <c r="C68" s="324"/>
      <c r="D68" s="324"/>
      <c r="E68" s="324"/>
      <c r="F68" s="324"/>
      <c r="G68" s="324"/>
      <c r="H68" s="324"/>
      <c r="I68" s="324"/>
      <c r="J68" s="324"/>
      <c r="K68" s="324"/>
      <c r="L68" s="324"/>
      <c r="M68" s="324"/>
      <c r="N68" s="324"/>
      <c r="O68" s="324"/>
      <c r="P68" s="324"/>
      <c r="Q68" s="324"/>
      <c r="R68" s="324"/>
      <c r="S68" s="324"/>
      <c r="T68" s="324"/>
      <c r="U68" s="324"/>
      <c r="V68" s="324"/>
    </row>
    <row r="69" spans="1:24" ht="48.75" customHeight="1" x14ac:dyDescent="0.3">
      <c r="A69" s="122">
        <v>1</v>
      </c>
      <c r="B69" s="123" t="s">
        <v>215</v>
      </c>
      <c r="C69" s="124">
        <v>842</v>
      </c>
      <c r="D69" s="125" t="s">
        <v>216</v>
      </c>
      <c r="E69" s="126" t="s">
        <v>217</v>
      </c>
      <c r="F69" s="122">
        <v>188.52</v>
      </c>
      <c r="G69" s="122"/>
      <c r="H69" s="127" t="s">
        <v>217</v>
      </c>
      <c r="I69" s="128">
        <f>SUM(J69:L69)</f>
        <v>116.52</v>
      </c>
      <c r="J69" s="129">
        <v>116.52</v>
      </c>
      <c r="K69" s="130"/>
      <c r="L69" s="131"/>
      <c r="M69" s="128"/>
      <c r="N69" s="129"/>
      <c r="O69" s="130"/>
      <c r="P69" s="131"/>
      <c r="Q69" s="128"/>
      <c r="R69" s="129"/>
      <c r="S69" s="130"/>
      <c r="T69" s="131"/>
      <c r="U69" s="132">
        <v>2020</v>
      </c>
      <c r="V69" s="2">
        <v>2021</v>
      </c>
    </row>
    <row r="70" spans="1:24" ht="45.75" customHeight="1" x14ac:dyDescent="0.3">
      <c r="A70" s="122">
        <v>2</v>
      </c>
      <c r="B70" s="123" t="s">
        <v>218</v>
      </c>
      <c r="C70" s="124">
        <v>842</v>
      </c>
      <c r="D70" s="125" t="s">
        <v>216</v>
      </c>
      <c r="E70" s="133"/>
      <c r="F70" s="122"/>
      <c r="G70" s="122"/>
      <c r="H70" s="134" t="s">
        <v>219</v>
      </c>
      <c r="I70" s="135">
        <f t="shared" ref="I70:I71" si="18">SUM(J70:L70)</f>
        <v>10</v>
      </c>
      <c r="J70" s="136">
        <f>80.81-70.81</f>
        <v>10</v>
      </c>
      <c r="K70" s="137"/>
      <c r="L70" s="138"/>
      <c r="M70" s="135"/>
      <c r="N70" s="139"/>
      <c r="O70" s="137"/>
      <c r="P70" s="138"/>
      <c r="Q70" s="135"/>
      <c r="R70" s="139"/>
      <c r="S70" s="137"/>
      <c r="T70" s="138"/>
      <c r="U70" s="132">
        <v>2021</v>
      </c>
      <c r="V70" s="2">
        <v>2021</v>
      </c>
      <c r="X70" s="294">
        <v>70.81</v>
      </c>
    </row>
    <row r="71" spans="1:24" ht="60" customHeight="1" x14ac:dyDescent="0.3">
      <c r="A71" s="122">
        <v>3</v>
      </c>
      <c r="B71" s="123" t="s">
        <v>220</v>
      </c>
      <c r="C71" s="124">
        <v>22373</v>
      </c>
      <c r="D71" s="125" t="s">
        <v>221</v>
      </c>
      <c r="E71" s="133"/>
      <c r="F71" s="122"/>
      <c r="G71" s="122"/>
      <c r="H71" s="127" t="s">
        <v>222</v>
      </c>
      <c r="I71" s="135">
        <f t="shared" si="18"/>
        <v>244.67</v>
      </c>
      <c r="J71" s="136">
        <v>244.67</v>
      </c>
      <c r="K71" s="137"/>
      <c r="L71" s="138"/>
      <c r="M71" s="135">
        <v>130</v>
      </c>
      <c r="N71" s="139">
        <v>130</v>
      </c>
      <c r="O71" s="137"/>
      <c r="P71" s="138"/>
      <c r="Q71" s="305">
        <v>0</v>
      </c>
      <c r="R71" s="306">
        <v>0</v>
      </c>
      <c r="S71" s="137"/>
      <c r="T71" s="138"/>
      <c r="U71" s="132">
        <v>2021</v>
      </c>
      <c r="V71" s="2">
        <v>2022</v>
      </c>
    </row>
    <row r="72" spans="1:24" s="148" customFormat="1" ht="21" customHeight="1" thickBot="1" x14ac:dyDescent="0.3">
      <c r="A72" s="140"/>
      <c r="B72" s="325" t="s">
        <v>14</v>
      </c>
      <c r="C72" s="325"/>
      <c r="D72" s="325"/>
      <c r="E72" s="325"/>
      <c r="F72" s="325"/>
      <c r="G72" s="325"/>
      <c r="H72" s="326"/>
      <c r="I72" s="143">
        <f>SUM(I69:I71)</f>
        <v>371.19</v>
      </c>
      <c r="J72" s="141">
        <f t="shared" ref="J72:T72" si="19">SUM(J69:J71)</f>
        <v>371.19</v>
      </c>
      <c r="K72" s="141">
        <f t="shared" si="19"/>
        <v>0</v>
      </c>
      <c r="L72" s="142">
        <f t="shared" si="19"/>
        <v>0</v>
      </c>
      <c r="M72" s="143">
        <f t="shared" si="19"/>
        <v>130</v>
      </c>
      <c r="N72" s="141">
        <f t="shared" si="19"/>
        <v>130</v>
      </c>
      <c r="O72" s="141">
        <f t="shared" si="19"/>
        <v>0</v>
      </c>
      <c r="P72" s="142">
        <f t="shared" si="19"/>
        <v>0</v>
      </c>
      <c r="Q72" s="5"/>
      <c r="R72" s="6"/>
      <c r="S72" s="144">
        <f t="shared" si="19"/>
        <v>0</v>
      </c>
      <c r="T72" s="145">
        <f t="shared" si="19"/>
        <v>0</v>
      </c>
      <c r="U72" s="146"/>
      <c r="V72" s="147"/>
      <c r="W72" s="292"/>
      <c r="X72" s="303"/>
    </row>
    <row r="73" spans="1:24" s="153" customFormat="1" ht="16.5" customHeight="1" x14ac:dyDescent="0.3">
      <c r="A73" s="149"/>
      <c r="B73" s="121"/>
      <c r="C73" s="150"/>
      <c r="D73" s="24"/>
      <c r="E73" s="24"/>
      <c r="F73" s="151"/>
      <c r="G73" s="151"/>
      <c r="H73" s="151"/>
      <c r="I73" s="152"/>
      <c r="J73" s="152"/>
      <c r="K73" s="152"/>
      <c r="L73" s="152"/>
      <c r="M73" s="152"/>
      <c r="N73" s="152"/>
      <c r="O73" s="152"/>
      <c r="P73" s="152"/>
      <c r="Q73" s="152"/>
      <c r="R73" s="152"/>
      <c r="S73" s="152"/>
      <c r="T73" s="152"/>
      <c r="U73" s="36"/>
      <c r="V73" s="36"/>
      <c r="W73" s="292"/>
      <c r="X73" s="303"/>
    </row>
    <row r="74" spans="1:24" ht="24" customHeight="1" x14ac:dyDescent="0.3">
      <c r="A74" s="327" t="s">
        <v>361</v>
      </c>
      <c r="B74" s="328"/>
      <c r="C74" s="328"/>
      <c r="D74" s="328"/>
      <c r="E74" s="328"/>
      <c r="F74" s="328"/>
      <c r="G74" s="328"/>
      <c r="H74" s="328"/>
      <c r="I74" s="328"/>
      <c r="J74" s="328"/>
      <c r="K74" s="328"/>
      <c r="L74" s="328"/>
      <c r="M74" s="328"/>
      <c r="N74" s="328"/>
      <c r="O74" s="328"/>
      <c r="P74" s="328"/>
      <c r="Q74" s="328"/>
      <c r="R74" s="328"/>
      <c r="S74" s="328"/>
      <c r="T74" s="328"/>
      <c r="U74" s="328"/>
      <c r="V74" s="328"/>
    </row>
    <row r="75" spans="1:24" ht="66.599999999999994" hidden="1" customHeight="1" x14ac:dyDescent="0.3">
      <c r="A75" s="322" t="s">
        <v>0</v>
      </c>
      <c r="B75" s="322" t="s">
        <v>1</v>
      </c>
      <c r="C75" s="322" t="s">
        <v>223</v>
      </c>
      <c r="D75" s="322" t="s">
        <v>3</v>
      </c>
      <c r="E75" s="322" t="s">
        <v>6</v>
      </c>
      <c r="F75" s="322" t="s">
        <v>5</v>
      </c>
      <c r="G75" s="322"/>
      <c r="H75" s="321" t="s">
        <v>6</v>
      </c>
      <c r="I75" s="321" t="s">
        <v>224</v>
      </c>
      <c r="J75" s="321"/>
      <c r="K75" s="321"/>
      <c r="L75" s="321"/>
      <c r="M75" s="321" t="s">
        <v>8</v>
      </c>
      <c r="N75" s="321"/>
      <c r="O75" s="321"/>
      <c r="P75" s="321"/>
      <c r="Q75" s="321" t="s">
        <v>9</v>
      </c>
      <c r="R75" s="321"/>
      <c r="S75" s="321"/>
      <c r="T75" s="321"/>
      <c r="U75" s="322" t="s">
        <v>10</v>
      </c>
      <c r="V75" s="322" t="s">
        <v>11</v>
      </c>
    </row>
    <row r="76" spans="1:24" ht="54.9" hidden="1" customHeight="1" x14ac:dyDescent="0.3">
      <c r="A76" s="322"/>
      <c r="B76" s="322"/>
      <c r="C76" s="322"/>
      <c r="D76" s="322"/>
      <c r="E76" s="322"/>
      <c r="F76" s="310" t="s">
        <v>12</v>
      </c>
      <c r="G76" s="310" t="s">
        <v>13</v>
      </c>
      <c r="H76" s="321"/>
      <c r="I76" s="309" t="s">
        <v>14</v>
      </c>
      <c r="J76" s="309" t="s">
        <v>12</v>
      </c>
      <c r="K76" s="309" t="s">
        <v>15</v>
      </c>
      <c r="L76" s="309" t="s">
        <v>16</v>
      </c>
      <c r="M76" s="309" t="s">
        <v>14</v>
      </c>
      <c r="N76" s="309" t="s">
        <v>17</v>
      </c>
      <c r="O76" s="309" t="s">
        <v>15</v>
      </c>
      <c r="P76" s="309" t="s">
        <v>18</v>
      </c>
      <c r="Q76" s="309" t="s">
        <v>14</v>
      </c>
      <c r="R76" s="309" t="s">
        <v>12</v>
      </c>
      <c r="S76" s="309" t="s">
        <v>15</v>
      </c>
      <c r="T76" s="309" t="s">
        <v>18</v>
      </c>
      <c r="U76" s="322"/>
      <c r="V76" s="322"/>
    </row>
    <row r="77" spans="1:24" hidden="1" x14ac:dyDescent="0.3">
      <c r="A77" s="154">
        <v>1</v>
      </c>
      <c r="B77" s="154">
        <v>2</v>
      </c>
      <c r="C77" s="154">
        <v>3</v>
      </c>
      <c r="D77" s="154">
        <v>4</v>
      </c>
      <c r="E77" s="154">
        <v>5</v>
      </c>
      <c r="F77" s="154">
        <v>6</v>
      </c>
      <c r="G77" s="154">
        <v>7</v>
      </c>
      <c r="H77" s="155">
        <v>8</v>
      </c>
      <c r="I77" s="155">
        <v>9</v>
      </c>
      <c r="J77" s="155">
        <v>10</v>
      </c>
      <c r="K77" s="155">
        <v>11</v>
      </c>
      <c r="L77" s="155">
        <v>12</v>
      </c>
      <c r="M77" s="155">
        <v>13</v>
      </c>
      <c r="N77" s="155">
        <v>14</v>
      </c>
      <c r="O77" s="155">
        <v>15</v>
      </c>
      <c r="P77" s="155">
        <v>16</v>
      </c>
      <c r="Q77" s="155">
        <v>17</v>
      </c>
      <c r="R77" s="155">
        <v>18</v>
      </c>
      <c r="S77" s="155">
        <v>19</v>
      </c>
      <c r="T77" s="155">
        <v>20</v>
      </c>
      <c r="U77" s="30">
        <v>21</v>
      </c>
      <c r="V77" s="30">
        <v>22</v>
      </c>
    </row>
    <row r="78" spans="1:24" ht="15" customHeight="1" x14ac:dyDescent="0.3">
      <c r="A78" s="156"/>
      <c r="B78" s="157" t="s">
        <v>350</v>
      </c>
      <c r="C78" s="158"/>
      <c r="D78" s="159"/>
      <c r="E78" s="158"/>
      <c r="F78" s="160"/>
      <c r="G78" s="160"/>
      <c r="H78" s="158"/>
      <c r="I78" s="158"/>
      <c r="J78" s="158"/>
      <c r="K78" s="158"/>
      <c r="L78" s="158"/>
      <c r="M78" s="158"/>
      <c r="N78" s="158"/>
      <c r="O78" s="158"/>
      <c r="P78" s="158"/>
      <c r="Q78" s="158"/>
      <c r="R78" s="158"/>
      <c r="S78" s="158"/>
      <c r="T78" s="158"/>
      <c r="U78" s="160"/>
      <c r="V78" s="161"/>
    </row>
    <row r="79" spans="1:24" ht="55.2" x14ac:dyDescent="0.3">
      <c r="A79" s="313">
        <v>1</v>
      </c>
      <c r="B79" s="17" t="s">
        <v>225</v>
      </c>
      <c r="C79" s="313">
        <v>23663</v>
      </c>
      <c r="D79" s="162" t="s">
        <v>226</v>
      </c>
      <c r="E79" s="163" t="s">
        <v>227</v>
      </c>
      <c r="F79" s="164"/>
      <c r="G79" s="164"/>
      <c r="H79" s="163" t="s">
        <v>228</v>
      </c>
      <c r="I79" s="165">
        <v>61.8</v>
      </c>
      <c r="J79" s="316">
        <v>61.8</v>
      </c>
      <c r="K79" s="166">
        <v>0</v>
      </c>
      <c r="L79" s="167">
        <v>0</v>
      </c>
      <c r="M79" s="165">
        <f>SUM(N79:P79)</f>
        <v>70</v>
      </c>
      <c r="N79" s="316">
        <v>70</v>
      </c>
      <c r="O79" s="166"/>
      <c r="P79" s="167"/>
      <c r="Q79" s="165">
        <f>SUM(R79:T79)</f>
        <v>130</v>
      </c>
      <c r="R79" s="316">
        <v>130</v>
      </c>
      <c r="S79" s="166"/>
      <c r="T79" s="167"/>
      <c r="U79" s="168">
        <v>2021</v>
      </c>
      <c r="V79" s="169">
        <v>2023</v>
      </c>
    </row>
    <row r="80" spans="1:24" ht="41.4" x14ac:dyDescent="0.3">
      <c r="A80" s="310">
        <f>A79+1</f>
        <v>2</v>
      </c>
      <c r="B80" s="18" t="s">
        <v>229</v>
      </c>
      <c r="C80" s="310">
        <v>24830</v>
      </c>
      <c r="D80" s="18" t="s">
        <v>230</v>
      </c>
      <c r="E80" s="170" t="s">
        <v>231</v>
      </c>
      <c r="F80" s="39">
        <v>76</v>
      </c>
      <c r="G80" s="39">
        <v>34</v>
      </c>
      <c r="H80" s="170" t="s">
        <v>231</v>
      </c>
      <c r="I80" s="171">
        <f>SUM(J80:L80)</f>
        <v>145</v>
      </c>
      <c r="J80" s="315">
        <f>80+40</f>
        <v>120</v>
      </c>
      <c r="K80" s="172">
        <v>10</v>
      </c>
      <c r="L80" s="173">
        <v>15</v>
      </c>
      <c r="M80" s="171">
        <f>SUM(N80:P80)</f>
        <v>72.5</v>
      </c>
      <c r="N80" s="315">
        <v>72.5</v>
      </c>
      <c r="O80" s="172"/>
      <c r="P80" s="173"/>
      <c r="Q80" s="171">
        <f>SUM(R80:T80)</f>
        <v>0</v>
      </c>
      <c r="R80" s="315"/>
      <c r="S80" s="172"/>
      <c r="T80" s="173"/>
      <c r="U80" s="58">
        <v>2020</v>
      </c>
      <c r="V80" s="19">
        <v>2022</v>
      </c>
      <c r="W80" s="284">
        <v>40</v>
      </c>
    </row>
    <row r="81" spans="1:25" ht="69" customHeight="1" x14ac:dyDescent="0.3">
      <c r="A81" s="310">
        <f t="shared" ref="A81:A82" si="20">A80+1</f>
        <v>3</v>
      </c>
      <c r="B81" s="18" t="s">
        <v>232</v>
      </c>
      <c r="C81" s="310">
        <v>1504</v>
      </c>
      <c r="D81" s="18" t="s">
        <v>233</v>
      </c>
      <c r="E81" s="170" t="s">
        <v>234</v>
      </c>
      <c r="F81" s="39">
        <v>60</v>
      </c>
      <c r="G81" s="39">
        <v>93</v>
      </c>
      <c r="H81" s="170" t="s">
        <v>234</v>
      </c>
      <c r="I81" s="171">
        <f>SUM(J81:L81)</f>
        <v>85.03</v>
      </c>
      <c r="J81" s="315">
        <v>33.03</v>
      </c>
      <c r="K81" s="172">
        <v>2</v>
      </c>
      <c r="L81" s="173">
        <f>50</f>
        <v>50</v>
      </c>
      <c r="M81" s="171">
        <f>SUM(N81:P81)</f>
        <v>0</v>
      </c>
      <c r="N81" s="174"/>
      <c r="O81" s="175"/>
      <c r="P81" s="173"/>
      <c r="Q81" s="171">
        <f>SUM(R81:T81)</f>
        <v>0</v>
      </c>
      <c r="R81" s="315"/>
      <c r="S81" s="172"/>
      <c r="T81" s="173"/>
      <c r="U81" s="58">
        <v>2020</v>
      </c>
      <c r="V81" s="19">
        <v>2021</v>
      </c>
    </row>
    <row r="82" spans="1:25" ht="42" thickBot="1" x14ac:dyDescent="0.35">
      <c r="A82" s="312">
        <f t="shared" si="20"/>
        <v>4</v>
      </c>
      <c r="B82" s="9" t="s">
        <v>235</v>
      </c>
      <c r="C82" s="312">
        <v>1648</v>
      </c>
      <c r="D82" s="176" t="s">
        <v>236</v>
      </c>
      <c r="E82" s="177"/>
      <c r="F82" s="178"/>
      <c r="G82" s="178"/>
      <c r="H82" s="179" t="s">
        <v>237</v>
      </c>
      <c r="I82" s="180">
        <f>SUM(J82:L82)</f>
        <v>13.16</v>
      </c>
      <c r="J82" s="181">
        <f>16.76-10</f>
        <v>6.7600000000000016</v>
      </c>
      <c r="K82" s="182">
        <v>3.2</v>
      </c>
      <c r="L82" s="183">
        <v>3.2</v>
      </c>
      <c r="M82" s="180">
        <f>SUM(N82:P82)</f>
        <v>49.09</v>
      </c>
      <c r="N82" s="181">
        <v>49.09</v>
      </c>
      <c r="O82" s="182"/>
      <c r="P82" s="183"/>
      <c r="Q82" s="180">
        <f>SUM(R82:T82)</f>
        <v>42</v>
      </c>
      <c r="R82" s="181">
        <v>42</v>
      </c>
      <c r="S82" s="182"/>
      <c r="T82" s="183"/>
      <c r="U82" s="64">
        <v>2021</v>
      </c>
      <c r="V82" s="15">
        <v>2022</v>
      </c>
      <c r="X82" s="294">
        <v>10</v>
      </c>
    </row>
    <row r="83" spans="1:25" s="121" customFormat="1" x14ac:dyDescent="0.3">
      <c r="A83" s="78"/>
      <c r="B83" s="320" t="s">
        <v>14</v>
      </c>
      <c r="C83" s="320"/>
      <c r="D83" s="320"/>
      <c r="E83" s="320"/>
      <c r="F83" s="320"/>
      <c r="G83" s="320"/>
      <c r="H83" s="320"/>
      <c r="I83" s="184">
        <f>SUM(I79:I82)</f>
        <v>304.99000000000007</v>
      </c>
      <c r="J83" s="185">
        <f>SUM(J79:J82)</f>
        <v>221.59</v>
      </c>
      <c r="K83" s="185">
        <f>SUM(K79:K82)</f>
        <v>15.2</v>
      </c>
      <c r="L83" s="185">
        <f>SUM(L79:L82)</f>
        <v>68.2</v>
      </c>
      <c r="M83" s="185">
        <f t="shared" ref="M83:T83" si="21">SUM(M79:M82)</f>
        <v>191.59</v>
      </c>
      <c r="N83" s="185">
        <f t="shared" si="21"/>
        <v>191.59</v>
      </c>
      <c r="O83" s="185">
        <f t="shared" si="21"/>
        <v>0</v>
      </c>
      <c r="P83" s="185">
        <f t="shared" si="21"/>
        <v>0</v>
      </c>
      <c r="Q83" s="185">
        <f t="shared" si="21"/>
        <v>172</v>
      </c>
      <c r="R83" s="185">
        <f t="shared" si="21"/>
        <v>172</v>
      </c>
      <c r="S83" s="185">
        <f t="shared" si="21"/>
        <v>0</v>
      </c>
      <c r="T83" s="185">
        <f t="shared" si="21"/>
        <v>0</v>
      </c>
      <c r="U83" s="105"/>
      <c r="V83" s="105"/>
      <c r="W83" s="291"/>
      <c r="X83" s="302"/>
    </row>
    <row r="84" spans="1:25" s="121" customFormat="1" ht="15" customHeight="1" thickBot="1" x14ac:dyDescent="0.35">
      <c r="A84" s="186"/>
      <c r="B84" s="157" t="s">
        <v>351</v>
      </c>
      <c r="C84" s="35"/>
      <c r="D84" s="187"/>
      <c r="E84" s="35"/>
      <c r="F84" s="188"/>
      <c r="G84" s="188"/>
      <c r="H84" s="35"/>
      <c r="I84" s="35"/>
      <c r="J84" s="35"/>
      <c r="K84" s="35"/>
      <c r="L84" s="35"/>
      <c r="M84" s="35"/>
      <c r="N84" s="35"/>
      <c r="O84" s="35"/>
      <c r="P84" s="35"/>
      <c r="Q84" s="35"/>
      <c r="R84" s="35"/>
      <c r="S84" s="35"/>
      <c r="T84" s="35"/>
      <c r="U84" s="188"/>
      <c r="V84" s="189"/>
      <c r="W84" s="291"/>
      <c r="X84" s="302"/>
    </row>
    <row r="85" spans="1:25" ht="66.75" customHeight="1" x14ac:dyDescent="0.3">
      <c r="A85" s="310">
        <f>A82+1</f>
        <v>5</v>
      </c>
      <c r="B85" s="10" t="s">
        <v>238</v>
      </c>
      <c r="C85" s="310">
        <v>1361</v>
      </c>
      <c r="D85" s="18" t="s">
        <v>239</v>
      </c>
      <c r="E85" s="190"/>
      <c r="F85" s="310"/>
      <c r="G85" s="310"/>
      <c r="H85" s="170" t="s">
        <v>240</v>
      </c>
      <c r="I85" s="191">
        <f>SUM(J85:L85)</f>
        <v>88.17</v>
      </c>
      <c r="J85" s="192">
        <f>67.17+10</f>
        <v>77.17</v>
      </c>
      <c r="K85" s="193">
        <v>1</v>
      </c>
      <c r="L85" s="194">
        <v>10</v>
      </c>
      <c r="M85" s="195">
        <f>SUM(N85:P85)</f>
        <v>33.46</v>
      </c>
      <c r="N85" s="42">
        <v>33.46</v>
      </c>
      <c r="O85" s="196"/>
      <c r="P85" s="197"/>
      <c r="Q85" s="90">
        <f>R85</f>
        <v>30</v>
      </c>
      <c r="R85" s="198">
        <v>30</v>
      </c>
      <c r="S85" s="199"/>
      <c r="T85" s="200"/>
      <c r="U85" s="58">
        <v>2021</v>
      </c>
      <c r="V85" s="19">
        <v>2023</v>
      </c>
      <c r="W85" s="284">
        <v>10</v>
      </c>
      <c r="Y85" s="24" t="s">
        <v>392</v>
      </c>
    </row>
    <row r="86" spans="1:25" ht="69" x14ac:dyDescent="0.3">
      <c r="A86" s="310">
        <f>A85+1</f>
        <v>6</v>
      </c>
      <c r="B86" s="10" t="s">
        <v>241</v>
      </c>
      <c r="C86" s="310">
        <v>1024</v>
      </c>
      <c r="D86" s="18" t="s">
        <v>242</v>
      </c>
      <c r="E86" s="190"/>
      <c r="F86" s="310"/>
      <c r="G86" s="310"/>
      <c r="H86" s="170" t="s">
        <v>243</v>
      </c>
      <c r="I86" s="171">
        <f>SUM(J86:L86)</f>
        <v>9.9899999999999984</v>
      </c>
      <c r="J86" s="315">
        <v>8.7899999999999991</v>
      </c>
      <c r="K86" s="172">
        <v>1.2</v>
      </c>
      <c r="L86" s="173">
        <v>0</v>
      </c>
      <c r="M86" s="165">
        <f>SUM(N86:P86)</f>
        <v>45.72</v>
      </c>
      <c r="N86" s="63">
        <v>45.72</v>
      </c>
      <c r="O86" s="63"/>
      <c r="P86" s="201"/>
      <c r="Q86" s="165">
        <f>SUM(R86:T86)</f>
        <v>69</v>
      </c>
      <c r="R86" s="56">
        <v>69</v>
      </c>
      <c r="S86" s="202"/>
      <c r="T86" s="203"/>
      <c r="U86" s="58">
        <v>2021</v>
      </c>
      <c r="V86" s="19">
        <v>2025</v>
      </c>
    </row>
    <row r="87" spans="1:25" ht="48" customHeight="1" x14ac:dyDescent="0.3">
      <c r="A87" s="310">
        <f t="shared" ref="A87:A88" si="22">A86+1</f>
        <v>7</v>
      </c>
      <c r="B87" s="10" t="s">
        <v>244</v>
      </c>
      <c r="C87" s="310">
        <v>38544</v>
      </c>
      <c r="D87" s="18" t="s">
        <v>245</v>
      </c>
      <c r="E87" s="190"/>
      <c r="F87" s="310"/>
      <c r="G87" s="310"/>
      <c r="H87" s="170" t="s">
        <v>246</v>
      </c>
      <c r="I87" s="171">
        <f>SUM(J87:L87)</f>
        <v>61</v>
      </c>
      <c r="J87" s="315">
        <v>50</v>
      </c>
      <c r="K87" s="172">
        <v>1</v>
      </c>
      <c r="L87" s="173">
        <v>10</v>
      </c>
      <c r="M87" s="171">
        <f>SUM(N87:P87)</f>
        <v>69.7</v>
      </c>
      <c r="N87" s="56">
        <v>69.7</v>
      </c>
      <c r="O87" s="63"/>
      <c r="P87" s="201"/>
      <c r="Q87" s="204"/>
      <c r="R87" s="205"/>
      <c r="S87" s="202"/>
      <c r="T87" s="203"/>
      <c r="U87" s="58">
        <v>2021</v>
      </c>
      <c r="V87" s="19">
        <v>2022</v>
      </c>
    </row>
    <row r="88" spans="1:25" ht="38.25" customHeight="1" thickBot="1" x14ac:dyDescent="0.35">
      <c r="A88" s="312">
        <f t="shared" si="22"/>
        <v>8</v>
      </c>
      <c r="B88" s="9" t="s">
        <v>247</v>
      </c>
      <c r="C88" s="312">
        <v>17239</v>
      </c>
      <c r="D88" s="176" t="s">
        <v>248</v>
      </c>
      <c r="E88" s="206"/>
      <c r="F88" s="312"/>
      <c r="G88" s="312"/>
      <c r="H88" s="179" t="s">
        <v>249</v>
      </c>
      <c r="I88" s="180">
        <f>SUM(J88:L88)</f>
        <v>72.92</v>
      </c>
      <c r="J88" s="181">
        <v>52.92</v>
      </c>
      <c r="K88" s="182">
        <v>10</v>
      </c>
      <c r="L88" s="183">
        <v>10</v>
      </c>
      <c r="M88" s="180">
        <f>SUM(N88:P88)</f>
        <v>0</v>
      </c>
      <c r="N88" s="207"/>
      <c r="O88" s="207"/>
      <c r="P88" s="208"/>
      <c r="Q88" s="209"/>
      <c r="R88" s="210"/>
      <c r="S88" s="211"/>
      <c r="T88" s="212"/>
      <c r="U88" s="64">
        <v>2021</v>
      </c>
      <c r="V88" s="15">
        <v>2021</v>
      </c>
    </row>
    <row r="89" spans="1:25" s="121" customFormat="1" ht="24.75" customHeight="1" x14ac:dyDescent="0.3">
      <c r="A89" s="78"/>
      <c r="B89" s="320" t="s">
        <v>14</v>
      </c>
      <c r="C89" s="320"/>
      <c r="D89" s="320"/>
      <c r="E89" s="320"/>
      <c r="F89" s="320"/>
      <c r="G89" s="320"/>
      <c r="H89" s="320"/>
      <c r="I89" s="184">
        <f>SUM(I85:I88)</f>
        <v>232.07999999999998</v>
      </c>
      <c r="J89" s="185">
        <f>SUM(J85:J88)</f>
        <v>188.88</v>
      </c>
      <c r="K89" s="185">
        <f>SUM(K85:K88)</f>
        <v>13.2</v>
      </c>
      <c r="L89" s="185">
        <f>SUM(L85:L88)</f>
        <v>30</v>
      </c>
      <c r="M89" s="184">
        <f t="shared" ref="M89:T89" si="23">SUM(M85:M88)</f>
        <v>148.88</v>
      </c>
      <c r="N89" s="213">
        <f t="shared" si="23"/>
        <v>148.88</v>
      </c>
      <c r="O89" s="213">
        <f t="shared" si="23"/>
        <v>0</v>
      </c>
      <c r="P89" s="213">
        <f t="shared" si="23"/>
        <v>0</v>
      </c>
      <c r="Q89" s="213">
        <f t="shared" si="23"/>
        <v>99</v>
      </c>
      <c r="R89" s="213">
        <f t="shared" si="23"/>
        <v>99</v>
      </c>
      <c r="S89" s="213">
        <f t="shared" si="23"/>
        <v>0</v>
      </c>
      <c r="T89" s="213">
        <f t="shared" si="23"/>
        <v>0</v>
      </c>
      <c r="U89" s="105"/>
      <c r="V89" s="105"/>
      <c r="W89" s="291"/>
      <c r="X89" s="302"/>
    </row>
    <row r="90" spans="1:25" ht="15" customHeight="1" thickBot="1" x14ac:dyDescent="0.35">
      <c r="A90" s="214"/>
      <c r="B90" s="157" t="s">
        <v>352</v>
      </c>
      <c r="C90" s="215"/>
      <c r="D90" s="216"/>
      <c r="E90" s="215"/>
      <c r="F90" s="311"/>
      <c r="G90" s="311"/>
      <c r="H90" s="215"/>
      <c r="I90" s="215"/>
      <c r="J90" s="215"/>
      <c r="K90" s="215"/>
      <c r="L90" s="215"/>
      <c r="M90" s="215"/>
      <c r="N90" s="215"/>
      <c r="O90" s="215"/>
      <c r="P90" s="215"/>
      <c r="Q90" s="215"/>
      <c r="R90" s="215"/>
      <c r="S90" s="215"/>
      <c r="T90" s="215"/>
      <c r="U90" s="311"/>
      <c r="V90" s="37"/>
    </row>
    <row r="91" spans="1:25" ht="55.2" x14ac:dyDescent="0.3">
      <c r="A91" s="310">
        <f>A88+1</f>
        <v>9</v>
      </c>
      <c r="B91" s="18" t="s">
        <v>250</v>
      </c>
      <c r="C91" s="310">
        <v>15427</v>
      </c>
      <c r="D91" s="18" t="s">
        <v>251</v>
      </c>
      <c r="E91" s="176" t="s">
        <v>252</v>
      </c>
      <c r="F91" s="39">
        <v>192.49</v>
      </c>
      <c r="G91" s="39">
        <v>3</v>
      </c>
      <c r="H91" s="170" t="s">
        <v>253</v>
      </c>
      <c r="I91" s="191">
        <f>SUM(J91:L91)</f>
        <v>14.9</v>
      </c>
      <c r="J91" s="192">
        <v>14.9</v>
      </c>
      <c r="K91" s="193">
        <v>0</v>
      </c>
      <c r="L91" s="194">
        <v>0</v>
      </c>
      <c r="M91" s="191">
        <f>SUM(N91:P91)</f>
        <v>0</v>
      </c>
      <c r="N91" s="192"/>
      <c r="O91" s="193"/>
      <c r="P91" s="194"/>
      <c r="Q91" s="217"/>
      <c r="R91" s="192"/>
      <c r="S91" s="193"/>
      <c r="T91" s="194"/>
      <c r="U91" s="58">
        <v>2020</v>
      </c>
      <c r="V91" s="19">
        <v>2021</v>
      </c>
    </row>
    <row r="92" spans="1:25" ht="53.25" customHeight="1" thickBot="1" x14ac:dyDescent="0.35">
      <c r="A92" s="312">
        <f>A91+1</f>
        <v>10</v>
      </c>
      <c r="B92" s="9" t="s">
        <v>254</v>
      </c>
      <c r="C92" s="312">
        <v>990</v>
      </c>
      <c r="D92" s="176" t="s">
        <v>255</v>
      </c>
      <c r="E92" s="177"/>
      <c r="F92" s="178"/>
      <c r="G92" s="178"/>
      <c r="H92" s="179" t="s">
        <v>256</v>
      </c>
      <c r="I92" s="218">
        <f>SUM(J92:L92)</f>
        <v>42.459999999999994</v>
      </c>
      <c r="J92" s="181">
        <v>41.91</v>
      </c>
      <c r="K92" s="182">
        <v>0.55000000000000004</v>
      </c>
      <c r="L92" s="183">
        <v>0</v>
      </c>
      <c r="M92" s="218">
        <f>SUM(N92:P92)</f>
        <v>19.54</v>
      </c>
      <c r="N92" s="219">
        <v>19.54</v>
      </c>
      <c r="O92" s="182"/>
      <c r="P92" s="183"/>
      <c r="Q92" s="220"/>
      <c r="R92" s="181"/>
      <c r="S92" s="182"/>
      <c r="T92" s="183"/>
      <c r="U92" s="64">
        <v>2021</v>
      </c>
      <c r="V92" s="15">
        <v>2022</v>
      </c>
    </row>
    <row r="93" spans="1:25" s="121" customFormat="1" x14ac:dyDescent="0.3">
      <c r="A93" s="78"/>
      <c r="B93" s="320" t="s">
        <v>14</v>
      </c>
      <c r="C93" s="320"/>
      <c r="D93" s="320"/>
      <c r="E93" s="320"/>
      <c r="F93" s="320"/>
      <c r="G93" s="320"/>
      <c r="H93" s="320"/>
      <c r="I93" s="184">
        <f>SUM(I91:I92)</f>
        <v>57.359999999999992</v>
      </c>
      <c r="J93" s="185">
        <f>SUM(J91:J92)</f>
        <v>56.809999999999995</v>
      </c>
      <c r="K93" s="185">
        <f>SUM(K91:K92)</f>
        <v>0.55000000000000004</v>
      </c>
      <c r="L93" s="185">
        <f>SUM(L91,L92)</f>
        <v>0</v>
      </c>
      <c r="M93" s="184">
        <f t="shared" ref="M93:T93" si="24">SUM(M91:M92)</f>
        <v>19.54</v>
      </c>
      <c r="N93" s="185">
        <f t="shared" si="24"/>
        <v>19.54</v>
      </c>
      <c r="O93" s="185">
        <f t="shared" si="24"/>
        <v>0</v>
      </c>
      <c r="P93" s="185">
        <f t="shared" si="24"/>
        <v>0</v>
      </c>
      <c r="Q93" s="185">
        <f t="shared" si="24"/>
        <v>0</v>
      </c>
      <c r="R93" s="185">
        <f t="shared" si="24"/>
        <v>0</v>
      </c>
      <c r="S93" s="185">
        <f t="shared" si="24"/>
        <v>0</v>
      </c>
      <c r="T93" s="185">
        <f t="shared" si="24"/>
        <v>0</v>
      </c>
      <c r="U93" s="105"/>
      <c r="V93" s="105"/>
      <c r="W93" s="291"/>
      <c r="X93" s="302"/>
    </row>
    <row r="94" spans="1:25" ht="15" customHeight="1" thickBot="1" x14ac:dyDescent="0.35">
      <c r="A94" s="221"/>
      <c r="B94" s="157" t="s">
        <v>353</v>
      </c>
      <c r="C94" s="215"/>
      <c r="D94" s="216"/>
      <c r="E94" s="215"/>
      <c r="F94" s="311"/>
      <c r="G94" s="311"/>
      <c r="H94" s="215"/>
      <c r="I94" s="215"/>
      <c r="J94" s="215"/>
      <c r="K94" s="215"/>
      <c r="L94" s="215"/>
      <c r="M94" s="215"/>
      <c r="N94" s="215"/>
      <c r="O94" s="215"/>
      <c r="P94" s="215"/>
      <c r="Q94" s="215"/>
      <c r="R94" s="215"/>
      <c r="S94" s="215"/>
      <c r="T94" s="215"/>
      <c r="U94" s="311"/>
      <c r="V94" s="37"/>
    </row>
    <row r="95" spans="1:25" ht="46.5" customHeight="1" x14ac:dyDescent="0.3">
      <c r="A95" s="310">
        <f>A92+1</f>
        <v>11</v>
      </c>
      <c r="B95" s="10" t="s">
        <v>257</v>
      </c>
      <c r="C95" s="310">
        <v>28100</v>
      </c>
      <c r="D95" s="18" t="s">
        <v>258</v>
      </c>
      <c r="E95" s="170" t="s">
        <v>259</v>
      </c>
      <c r="F95" s="222">
        <v>43.8</v>
      </c>
      <c r="G95" s="222">
        <v>0.89999999999999991</v>
      </c>
      <c r="H95" s="170" t="s">
        <v>259</v>
      </c>
      <c r="I95" s="191">
        <f>SUM(J95:L95)</f>
        <v>9.85</v>
      </c>
      <c r="J95" s="192">
        <f>8.45+1.3</f>
        <v>9.75</v>
      </c>
      <c r="K95" s="193">
        <v>0.1</v>
      </c>
      <c r="L95" s="194">
        <v>0</v>
      </c>
      <c r="M95" s="191">
        <f>SUM(N95:P95)</f>
        <v>75</v>
      </c>
      <c r="N95" s="42">
        <f>75</f>
        <v>75</v>
      </c>
      <c r="O95" s="193"/>
      <c r="P95" s="194"/>
      <c r="Q95" s="191">
        <f>SUM(R95:T95)</f>
        <v>78.760000000000005</v>
      </c>
      <c r="R95" s="192">
        <f>78.76</f>
        <v>78.760000000000005</v>
      </c>
      <c r="S95" s="193"/>
      <c r="T95" s="194"/>
      <c r="U95" s="58">
        <v>2021</v>
      </c>
      <c r="V95" s="19">
        <v>2023</v>
      </c>
      <c r="W95" s="284">
        <v>1.3</v>
      </c>
    </row>
    <row r="96" spans="1:25" ht="51.75" customHeight="1" x14ac:dyDescent="0.3">
      <c r="A96" s="310">
        <f>A95+1</f>
        <v>12</v>
      </c>
      <c r="B96" s="18" t="s">
        <v>260</v>
      </c>
      <c r="C96" s="310">
        <v>1573</v>
      </c>
      <c r="D96" s="18" t="s">
        <v>261</v>
      </c>
      <c r="E96" s="170" t="s">
        <v>262</v>
      </c>
      <c r="F96" s="222">
        <v>175.01000000000002</v>
      </c>
      <c r="G96" s="222">
        <v>76.539999999999992</v>
      </c>
      <c r="H96" s="170" t="s">
        <v>262</v>
      </c>
      <c r="I96" s="171">
        <f>SUM(J96:L96)</f>
        <v>48.86</v>
      </c>
      <c r="J96" s="315">
        <v>35.46</v>
      </c>
      <c r="K96" s="172">
        <v>1</v>
      </c>
      <c r="L96" s="173">
        <v>12.4</v>
      </c>
      <c r="M96" s="171">
        <f>SUM(N96:P96)</f>
        <v>33.47</v>
      </c>
      <c r="N96" s="315">
        <v>33.47</v>
      </c>
      <c r="O96" s="172"/>
      <c r="P96" s="173"/>
      <c r="Q96" s="171">
        <f>SUM(R96:T96)</f>
        <v>86.03</v>
      </c>
      <c r="R96" s="315">
        <v>86.03</v>
      </c>
      <c r="S96" s="172"/>
      <c r="T96" s="173"/>
      <c r="U96" s="58">
        <v>2018</v>
      </c>
      <c r="V96" s="19">
        <v>2023</v>
      </c>
    </row>
    <row r="97" spans="1:24" ht="28.2" thickBot="1" x14ac:dyDescent="0.35">
      <c r="A97" s="312">
        <f>A96+1</f>
        <v>13</v>
      </c>
      <c r="B97" s="176" t="s">
        <v>263</v>
      </c>
      <c r="C97" s="312">
        <v>23691</v>
      </c>
      <c r="D97" s="176" t="s">
        <v>264</v>
      </c>
      <c r="E97" s="179" t="s">
        <v>66</v>
      </c>
      <c r="F97" s="223">
        <v>81.2</v>
      </c>
      <c r="G97" s="223">
        <v>0.5</v>
      </c>
      <c r="H97" s="179" t="s">
        <v>66</v>
      </c>
      <c r="I97" s="180">
        <f>SUM(J97:L97)</f>
        <v>77.37</v>
      </c>
      <c r="J97" s="181">
        <f>50+26.37</f>
        <v>76.37</v>
      </c>
      <c r="K97" s="182">
        <v>1</v>
      </c>
      <c r="L97" s="183">
        <v>0</v>
      </c>
      <c r="M97" s="180">
        <f>SUM(N97:P97)</f>
        <v>68</v>
      </c>
      <c r="N97" s="181">
        <f>68</f>
        <v>68</v>
      </c>
      <c r="O97" s="182"/>
      <c r="P97" s="183"/>
      <c r="Q97" s="180">
        <f>SUM(R97:T97)</f>
        <v>120</v>
      </c>
      <c r="R97" s="181">
        <v>120</v>
      </c>
      <c r="S97" s="182"/>
      <c r="T97" s="183"/>
      <c r="U97" s="64">
        <v>2019</v>
      </c>
      <c r="V97" s="15">
        <v>2023</v>
      </c>
      <c r="W97" s="284">
        <v>26.37</v>
      </c>
    </row>
    <row r="98" spans="1:24" s="121" customFormat="1" x14ac:dyDescent="0.3">
      <c r="A98" s="78"/>
      <c r="B98" s="320" t="s">
        <v>14</v>
      </c>
      <c r="C98" s="320"/>
      <c r="D98" s="320"/>
      <c r="E98" s="320"/>
      <c r="F98" s="320"/>
      <c r="G98" s="320"/>
      <c r="H98" s="320"/>
      <c r="I98" s="184">
        <f t="shared" ref="I98:T98" si="25">SUM(I95:I97)</f>
        <v>136.08000000000001</v>
      </c>
      <c r="J98" s="185">
        <f t="shared" si="25"/>
        <v>121.58000000000001</v>
      </c>
      <c r="K98" s="185">
        <f t="shared" si="25"/>
        <v>2.1</v>
      </c>
      <c r="L98" s="185">
        <f t="shared" si="25"/>
        <v>12.4</v>
      </c>
      <c r="M98" s="185">
        <f t="shared" si="25"/>
        <v>176.47</v>
      </c>
      <c r="N98" s="185">
        <f t="shared" si="25"/>
        <v>176.47</v>
      </c>
      <c r="O98" s="185">
        <f t="shared" si="25"/>
        <v>0</v>
      </c>
      <c r="P98" s="185">
        <f t="shared" si="25"/>
        <v>0</v>
      </c>
      <c r="Q98" s="184">
        <f t="shared" si="25"/>
        <v>284.79000000000002</v>
      </c>
      <c r="R98" s="185">
        <f t="shared" si="25"/>
        <v>284.79000000000002</v>
      </c>
      <c r="S98" s="185">
        <f t="shared" si="25"/>
        <v>0</v>
      </c>
      <c r="T98" s="185">
        <f t="shared" si="25"/>
        <v>0</v>
      </c>
      <c r="U98" s="105"/>
      <c r="V98" s="105"/>
      <c r="W98" s="291"/>
      <c r="X98" s="302"/>
    </row>
    <row r="99" spans="1:24" ht="15" customHeight="1" thickBot="1" x14ac:dyDescent="0.35">
      <c r="A99" s="214"/>
      <c r="B99" s="157" t="s">
        <v>354</v>
      </c>
      <c r="C99" s="215"/>
      <c r="D99" s="216"/>
      <c r="E99" s="215"/>
      <c r="F99" s="311"/>
      <c r="G99" s="311"/>
      <c r="H99" s="215"/>
      <c r="I99" s="215"/>
      <c r="J99" s="215"/>
      <c r="K99" s="215"/>
      <c r="L99" s="215"/>
      <c r="M99" s="215"/>
      <c r="N99" s="215"/>
      <c r="O99" s="215"/>
      <c r="P99" s="215"/>
      <c r="Q99" s="215"/>
      <c r="R99" s="215"/>
      <c r="S99" s="215"/>
      <c r="T99" s="215"/>
      <c r="U99" s="311"/>
      <c r="V99" s="37"/>
    </row>
    <row r="100" spans="1:24" ht="41.4" x14ac:dyDescent="0.3">
      <c r="A100" s="310">
        <f>A97+1</f>
        <v>14</v>
      </c>
      <c r="B100" s="18" t="s">
        <v>265</v>
      </c>
      <c r="C100" s="310">
        <v>21845</v>
      </c>
      <c r="D100" s="18" t="s">
        <v>266</v>
      </c>
      <c r="E100" s="170" t="s">
        <v>267</v>
      </c>
      <c r="F100" s="39">
        <v>662.64</v>
      </c>
      <c r="G100" s="39">
        <v>5.73</v>
      </c>
      <c r="H100" s="170" t="s">
        <v>267</v>
      </c>
      <c r="I100" s="191">
        <f>SUM(J100:L100)</f>
        <v>46</v>
      </c>
      <c r="J100" s="192">
        <v>45</v>
      </c>
      <c r="K100" s="193">
        <v>1</v>
      </c>
      <c r="L100" s="194">
        <v>0</v>
      </c>
      <c r="M100" s="191">
        <f>SUM(N100:P100)</f>
        <v>70</v>
      </c>
      <c r="N100" s="224">
        <v>70</v>
      </c>
      <c r="O100" s="193"/>
      <c r="P100" s="194"/>
      <c r="Q100" s="191">
        <f>SUM(R100:T100)</f>
        <v>60.8</v>
      </c>
      <c r="R100" s="225">
        <v>60.8</v>
      </c>
      <c r="S100" s="193"/>
      <c r="T100" s="194"/>
      <c r="U100" s="226">
        <v>2019</v>
      </c>
      <c r="V100" s="20">
        <v>2023</v>
      </c>
    </row>
    <row r="101" spans="1:24" ht="48.75" customHeight="1" x14ac:dyDescent="0.3">
      <c r="A101" s="310">
        <f>A100+1</f>
        <v>15</v>
      </c>
      <c r="B101" s="10" t="s">
        <v>268</v>
      </c>
      <c r="C101" s="310">
        <v>989</v>
      </c>
      <c r="D101" s="18" t="s">
        <v>269</v>
      </c>
      <c r="E101" s="227" t="s">
        <v>270</v>
      </c>
      <c r="F101" s="39">
        <v>34.47</v>
      </c>
      <c r="G101" s="39">
        <v>32</v>
      </c>
      <c r="H101" s="227" t="s">
        <v>270</v>
      </c>
      <c r="I101" s="171">
        <f>SUM(J101:L101)</f>
        <v>83.61</v>
      </c>
      <c r="J101" s="315">
        <v>50.61</v>
      </c>
      <c r="K101" s="172">
        <v>3</v>
      </c>
      <c r="L101" s="173">
        <v>30</v>
      </c>
      <c r="M101" s="171">
        <f>SUM(N101:P101)</f>
        <v>103.32</v>
      </c>
      <c r="N101" s="315">
        <v>103.32</v>
      </c>
      <c r="O101" s="172"/>
      <c r="P101" s="173"/>
      <c r="Q101" s="171">
        <f>SUM(R101:T101)</f>
        <v>86.02</v>
      </c>
      <c r="R101" s="315">
        <v>86.02</v>
      </c>
      <c r="S101" s="172"/>
      <c r="T101" s="173"/>
      <c r="U101" s="226">
        <v>2020</v>
      </c>
      <c r="V101" s="20">
        <v>2025</v>
      </c>
    </row>
    <row r="102" spans="1:24" ht="61.5" customHeight="1" thickBot="1" x14ac:dyDescent="0.35">
      <c r="A102" s="310">
        <f>A101+1</f>
        <v>16</v>
      </c>
      <c r="B102" s="176" t="s">
        <v>271</v>
      </c>
      <c r="C102" s="312" t="s">
        <v>272</v>
      </c>
      <c r="D102" s="176" t="s">
        <v>273</v>
      </c>
      <c r="E102" s="228" t="s">
        <v>274</v>
      </c>
      <c r="F102" s="178"/>
      <c r="G102" s="178"/>
      <c r="H102" s="228" t="s">
        <v>275</v>
      </c>
      <c r="I102" s="180">
        <f>SUM(J102:L102)</f>
        <v>70.92</v>
      </c>
      <c r="J102" s="181">
        <v>67.92</v>
      </c>
      <c r="K102" s="182">
        <v>3</v>
      </c>
      <c r="L102" s="183">
        <v>0</v>
      </c>
      <c r="M102" s="180">
        <f>SUM(N102:P102)</f>
        <v>25</v>
      </c>
      <c r="N102" s="181">
        <v>25</v>
      </c>
      <c r="O102" s="182"/>
      <c r="P102" s="183"/>
      <c r="Q102" s="180">
        <f>SUM(R102:T102)</f>
        <v>63.53</v>
      </c>
      <c r="R102" s="181">
        <v>63.53</v>
      </c>
      <c r="S102" s="182"/>
      <c r="T102" s="183"/>
      <c r="U102" s="55">
        <v>2020</v>
      </c>
      <c r="V102" s="229">
        <v>2023</v>
      </c>
    </row>
    <row r="103" spans="1:24" s="121" customFormat="1" x14ac:dyDescent="0.3">
      <c r="A103" s="230"/>
      <c r="B103" s="320" t="s">
        <v>14</v>
      </c>
      <c r="C103" s="320"/>
      <c r="D103" s="320"/>
      <c r="E103" s="320"/>
      <c r="F103" s="320"/>
      <c r="G103" s="320"/>
      <c r="H103" s="320"/>
      <c r="I103" s="184">
        <f>SUM(I100:I102)</f>
        <v>200.53000000000003</v>
      </c>
      <c r="J103" s="185">
        <f>SUM(J100:J102)</f>
        <v>163.53</v>
      </c>
      <c r="K103" s="185">
        <f>SUM(K100:K102)</f>
        <v>7</v>
      </c>
      <c r="L103" s="185">
        <f>SUM(L100:L102)</f>
        <v>30</v>
      </c>
      <c r="M103" s="185">
        <f t="shared" ref="M103:T103" si="26">SUM(M100:M102)</f>
        <v>198.32</v>
      </c>
      <c r="N103" s="185">
        <f t="shared" si="26"/>
        <v>198.32</v>
      </c>
      <c r="O103" s="185">
        <f t="shared" si="26"/>
        <v>0</v>
      </c>
      <c r="P103" s="185">
        <f t="shared" si="26"/>
        <v>0</v>
      </c>
      <c r="Q103" s="185">
        <f t="shared" si="26"/>
        <v>210.35</v>
      </c>
      <c r="R103" s="185">
        <f t="shared" si="26"/>
        <v>210.35</v>
      </c>
      <c r="S103" s="185">
        <f t="shared" si="26"/>
        <v>0</v>
      </c>
      <c r="T103" s="185">
        <f t="shared" si="26"/>
        <v>0</v>
      </c>
      <c r="U103" s="105"/>
      <c r="V103" s="105"/>
      <c r="W103" s="291"/>
      <c r="X103" s="302"/>
    </row>
    <row r="104" spans="1:24" ht="15" customHeight="1" thickBot="1" x14ac:dyDescent="0.35">
      <c r="A104" s="231"/>
      <c r="B104" s="157" t="s">
        <v>355</v>
      </c>
      <c r="C104" s="215"/>
      <c r="D104" s="216"/>
      <c r="E104" s="215"/>
      <c r="F104" s="311"/>
      <c r="G104" s="311"/>
      <c r="H104" s="215"/>
      <c r="I104" s="215"/>
      <c r="J104" s="215"/>
      <c r="K104" s="215"/>
      <c r="L104" s="215"/>
      <c r="M104" s="215"/>
      <c r="N104" s="215"/>
      <c r="O104" s="215"/>
      <c r="P104" s="215"/>
      <c r="Q104" s="215"/>
      <c r="R104" s="215"/>
      <c r="S104" s="215"/>
      <c r="T104" s="215"/>
      <c r="U104" s="311"/>
      <c r="V104" s="37"/>
    </row>
    <row r="105" spans="1:24" ht="41.4" x14ac:dyDescent="0.3">
      <c r="A105" s="310">
        <f>A102+1</f>
        <v>17</v>
      </c>
      <c r="B105" s="232" t="s">
        <v>276</v>
      </c>
      <c r="C105" s="310">
        <v>23457</v>
      </c>
      <c r="D105" s="232" t="s">
        <v>277</v>
      </c>
      <c r="E105" s="170" t="s">
        <v>267</v>
      </c>
      <c r="F105" s="39">
        <v>431.88</v>
      </c>
      <c r="G105" s="39">
        <v>13.299999999999999</v>
      </c>
      <c r="H105" s="170" t="s">
        <v>267</v>
      </c>
      <c r="I105" s="191">
        <f>SUM(J105,K105,L105)</f>
        <v>29.9</v>
      </c>
      <c r="J105" s="192">
        <v>29.4</v>
      </c>
      <c r="K105" s="193">
        <v>0.5</v>
      </c>
      <c r="L105" s="233">
        <v>0</v>
      </c>
      <c r="M105" s="191">
        <f>SUM(N105,O105,P105)</f>
        <v>0</v>
      </c>
      <c r="N105" s="192"/>
      <c r="O105" s="193"/>
      <c r="P105" s="194"/>
      <c r="Q105" s="191">
        <f>SUM(R105,S105,T105)</f>
        <v>0</v>
      </c>
      <c r="R105" s="192"/>
      <c r="S105" s="193"/>
      <c r="T105" s="194"/>
      <c r="U105" s="52">
        <v>2018</v>
      </c>
      <c r="V105" s="20">
        <v>2021</v>
      </c>
    </row>
    <row r="106" spans="1:24" ht="41.4" x14ac:dyDescent="0.3">
      <c r="A106" s="310">
        <f>A105+1</f>
        <v>18</v>
      </c>
      <c r="B106" s="232" t="s">
        <v>278</v>
      </c>
      <c r="C106" s="310">
        <v>15997</v>
      </c>
      <c r="D106" s="232" t="s">
        <v>279</v>
      </c>
      <c r="E106" s="227" t="s">
        <v>280</v>
      </c>
      <c r="F106" s="39">
        <v>74.02</v>
      </c>
      <c r="G106" s="39">
        <v>2</v>
      </c>
      <c r="H106" s="227" t="s">
        <v>280</v>
      </c>
      <c r="I106" s="171">
        <f>SUM(J106,K106,L106)</f>
        <v>75.33</v>
      </c>
      <c r="J106" s="315">
        <v>75.33</v>
      </c>
      <c r="K106" s="172">
        <v>0</v>
      </c>
      <c r="L106" s="234">
        <v>0</v>
      </c>
      <c r="M106" s="171">
        <f>SUM(N106,O106,P106)</f>
        <v>90.82</v>
      </c>
      <c r="N106" s="315">
        <v>90.82</v>
      </c>
      <c r="O106" s="172"/>
      <c r="P106" s="173"/>
      <c r="Q106" s="171">
        <f>SUM(R106,S106,T106)</f>
        <v>80</v>
      </c>
      <c r="R106" s="315">
        <v>80</v>
      </c>
      <c r="S106" s="172"/>
      <c r="T106" s="173"/>
      <c r="U106" s="52">
        <v>2020</v>
      </c>
      <c r="V106" s="20">
        <v>2023</v>
      </c>
    </row>
    <row r="107" spans="1:24" ht="31.5" customHeight="1" x14ac:dyDescent="0.3">
      <c r="A107" s="312">
        <f>A106+1</f>
        <v>19</v>
      </c>
      <c r="B107" s="235" t="s">
        <v>281</v>
      </c>
      <c r="C107" s="312">
        <v>23621</v>
      </c>
      <c r="D107" s="235" t="s">
        <v>282</v>
      </c>
      <c r="E107" s="179" t="s">
        <v>283</v>
      </c>
      <c r="F107" s="178">
        <v>44.4</v>
      </c>
      <c r="G107" s="178">
        <v>5</v>
      </c>
      <c r="H107" s="179" t="s">
        <v>283</v>
      </c>
      <c r="I107" s="171">
        <f>SUM(J107,K107,L107)</f>
        <v>15</v>
      </c>
      <c r="J107" s="315">
        <v>15</v>
      </c>
      <c r="K107" s="172">
        <v>0</v>
      </c>
      <c r="L107" s="234">
        <v>0</v>
      </c>
      <c r="M107" s="171">
        <f>SUM(N107,O107,P107)</f>
        <v>88.3</v>
      </c>
      <c r="N107" s="315">
        <v>88.3</v>
      </c>
      <c r="O107" s="172"/>
      <c r="P107" s="173"/>
      <c r="Q107" s="171">
        <f>SUM(R107,S107,T107)</f>
        <v>73.2</v>
      </c>
      <c r="R107" s="315">
        <v>73.2</v>
      </c>
      <c r="S107" s="172"/>
      <c r="T107" s="173"/>
      <c r="U107" s="52">
        <v>2017</v>
      </c>
      <c r="V107" s="20">
        <v>2023</v>
      </c>
    </row>
    <row r="108" spans="1:24" ht="42.75" customHeight="1" thickBot="1" x14ac:dyDescent="0.35">
      <c r="A108" s="312"/>
      <c r="B108" s="83" t="s">
        <v>220</v>
      </c>
      <c r="C108" s="310">
        <v>22373</v>
      </c>
      <c r="D108" s="232" t="s">
        <v>221</v>
      </c>
      <c r="E108" s="179"/>
      <c r="F108" s="178"/>
      <c r="G108" s="178"/>
      <c r="H108" s="179"/>
      <c r="I108" s="180"/>
      <c r="J108" s="181"/>
      <c r="K108" s="182"/>
      <c r="L108" s="236"/>
      <c r="M108" s="180"/>
      <c r="N108" s="181"/>
      <c r="O108" s="182"/>
      <c r="P108" s="183"/>
      <c r="Q108" s="180">
        <v>125</v>
      </c>
      <c r="R108" s="181">
        <v>125</v>
      </c>
      <c r="S108" s="182"/>
      <c r="T108" s="183"/>
      <c r="U108" s="52">
        <v>2023</v>
      </c>
      <c r="V108" s="20">
        <v>2025</v>
      </c>
    </row>
    <row r="109" spans="1:24" s="121" customFormat="1" x14ac:dyDescent="0.3">
      <c r="A109" s="78"/>
      <c r="B109" s="320" t="s">
        <v>14</v>
      </c>
      <c r="C109" s="320"/>
      <c r="D109" s="320"/>
      <c r="E109" s="320"/>
      <c r="F109" s="320"/>
      <c r="G109" s="320"/>
      <c r="H109" s="320"/>
      <c r="I109" s="184">
        <f>SUM(I105:I107)</f>
        <v>120.22999999999999</v>
      </c>
      <c r="J109" s="185">
        <f t="shared" ref="J109:T109" si="27">SUM(J105:J107)</f>
        <v>119.72999999999999</v>
      </c>
      <c r="K109" s="185">
        <f t="shared" si="27"/>
        <v>0.5</v>
      </c>
      <c r="L109" s="185">
        <f t="shared" si="27"/>
        <v>0</v>
      </c>
      <c r="M109" s="185">
        <f t="shared" si="27"/>
        <v>179.12</v>
      </c>
      <c r="N109" s="185">
        <f t="shared" si="27"/>
        <v>179.12</v>
      </c>
      <c r="O109" s="185">
        <f t="shared" si="27"/>
        <v>0</v>
      </c>
      <c r="P109" s="185">
        <f t="shared" si="27"/>
        <v>0</v>
      </c>
      <c r="Q109" s="185">
        <f>SUM(Q105:Q108)</f>
        <v>278.2</v>
      </c>
      <c r="R109" s="185">
        <f>SUM(R105:R108)</f>
        <v>278.2</v>
      </c>
      <c r="S109" s="185">
        <f t="shared" si="27"/>
        <v>0</v>
      </c>
      <c r="T109" s="185">
        <f t="shared" si="27"/>
        <v>0</v>
      </c>
      <c r="U109" s="237"/>
      <c r="V109" s="238"/>
      <c r="W109" s="291"/>
      <c r="X109" s="302"/>
    </row>
    <row r="110" spans="1:24" ht="15" thickBot="1" x14ac:dyDescent="0.35">
      <c r="A110" s="313"/>
      <c r="B110" s="157" t="s">
        <v>356</v>
      </c>
      <c r="C110" s="215"/>
      <c r="D110" s="216"/>
      <c r="E110" s="215"/>
      <c r="F110" s="311"/>
      <c r="G110" s="311"/>
      <c r="H110" s="215"/>
      <c r="I110" s="215"/>
      <c r="J110" s="215"/>
      <c r="K110" s="215"/>
      <c r="L110" s="215"/>
      <c r="M110" s="215"/>
      <c r="N110" s="215"/>
      <c r="O110" s="215"/>
      <c r="P110" s="215"/>
      <c r="Q110" s="215"/>
      <c r="R110" s="215"/>
      <c r="S110" s="215"/>
      <c r="T110" s="215"/>
      <c r="U110" s="311"/>
      <c r="V110" s="37"/>
    </row>
    <row r="111" spans="1:24" ht="41.4" x14ac:dyDescent="0.3">
      <c r="A111" s="313">
        <f>A107+1</f>
        <v>20</v>
      </c>
      <c r="B111" s="18" t="s">
        <v>284</v>
      </c>
      <c r="C111" s="310">
        <v>28335</v>
      </c>
      <c r="D111" s="18" t="s">
        <v>285</v>
      </c>
      <c r="E111" s="232" t="s">
        <v>286</v>
      </c>
      <c r="F111" s="39">
        <v>625.70000000000005</v>
      </c>
      <c r="G111" s="39">
        <v>14.9</v>
      </c>
      <c r="H111" s="232" t="s">
        <v>286</v>
      </c>
      <c r="I111" s="191">
        <f>SUM(J111:L111)</f>
        <v>58.6</v>
      </c>
      <c r="J111" s="192">
        <v>55.6</v>
      </c>
      <c r="K111" s="193">
        <v>3</v>
      </c>
      <c r="L111" s="194">
        <v>0</v>
      </c>
      <c r="M111" s="217"/>
      <c r="N111" s="192"/>
      <c r="O111" s="193"/>
      <c r="P111" s="194"/>
      <c r="Q111" s="217"/>
      <c r="R111" s="192"/>
      <c r="S111" s="193"/>
      <c r="T111" s="194"/>
      <c r="U111" s="226">
        <v>2020</v>
      </c>
      <c r="V111" s="20">
        <v>2021</v>
      </c>
    </row>
    <row r="112" spans="1:24" ht="55.2" x14ac:dyDescent="0.3">
      <c r="A112" s="310">
        <f>A111+1</f>
        <v>21</v>
      </c>
      <c r="B112" s="18" t="s">
        <v>287</v>
      </c>
      <c r="C112" s="310">
        <v>30805</v>
      </c>
      <c r="D112" s="18" t="s">
        <v>288</v>
      </c>
      <c r="E112" s="227" t="s">
        <v>289</v>
      </c>
      <c r="F112" s="39"/>
      <c r="G112" s="39"/>
      <c r="H112" s="227" t="s">
        <v>290</v>
      </c>
      <c r="I112" s="171">
        <f>SUM(J112:L112)</f>
        <v>12.84</v>
      </c>
      <c r="J112" s="315">
        <f>9.7+3.14</f>
        <v>12.84</v>
      </c>
      <c r="K112" s="172">
        <v>0</v>
      </c>
      <c r="L112" s="173">
        <v>0</v>
      </c>
      <c r="M112" s="165">
        <f>SUM(N112:P112)</f>
        <v>40</v>
      </c>
      <c r="N112" s="315">
        <v>40</v>
      </c>
      <c r="O112" s="172"/>
      <c r="P112" s="173"/>
      <c r="Q112" s="239">
        <f>R112</f>
        <v>50</v>
      </c>
      <c r="R112" s="315">
        <v>50</v>
      </c>
      <c r="S112" s="172"/>
      <c r="T112" s="173"/>
      <c r="U112" s="55">
        <v>2020</v>
      </c>
      <c r="V112" s="20">
        <v>2023</v>
      </c>
      <c r="W112" s="284">
        <v>3.14</v>
      </c>
    </row>
    <row r="113" spans="1:24" ht="41.4" x14ac:dyDescent="0.3">
      <c r="A113" s="310">
        <f t="shared" ref="A113:A115" si="28">A112+1</f>
        <v>22</v>
      </c>
      <c r="B113" s="18" t="s">
        <v>291</v>
      </c>
      <c r="C113" s="310">
        <v>947</v>
      </c>
      <c r="D113" s="18" t="s">
        <v>292</v>
      </c>
      <c r="E113" s="227" t="s">
        <v>293</v>
      </c>
      <c r="F113" s="39">
        <v>59.7</v>
      </c>
      <c r="G113" s="39">
        <v>0</v>
      </c>
      <c r="H113" s="227" t="s">
        <v>293</v>
      </c>
      <c r="I113" s="171">
        <f>SUM(J113:L113)</f>
        <v>42.7</v>
      </c>
      <c r="J113" s="315">
        <v>42.2</v>
      </c>
      <c r="K113" s="172">
        <v>0.5</v>
      </c>
      <c r="L113" s="173">
        <v>0</v>
      </c>
      <c r="M113" s="171">
        <f>SUM(N113:P113)</f>
        <v>0</v>
      </c>
      <c r="N113" s="315"/>
      <c r="O113" s="172"/>
      <c r="P113" s="173"/>
      <c r="Q113" s="239"/>
      <c r="R113" s="315"/>
      <c r="S113" s="172"/>
      <c r="T113" s="173"/>
      <c r="U113" s="55">
        <v>2020</v>
      </c>
      <c r="V113" s="20">
        <v>2021</v>
      </c>
    </row>
    <row r="114" spans="1:24" ht="49.95" customHeight="1" x14ac:dyDescent="0.3">
      <c r="A114" s="310">
        <f t="shared" si="28"/>
        <v>23</v>
      </c>
      <c r="B114" s="10" t="s">
        <v>294</v>
      </c>
      <c r="C114" s="310">
        <v>28116</v>
      </c>
      <c r="D114" s="18" t="s">
        <v>295</v>
      </c>
      <c r="E114" s="190"/>
      <c r="F114" s="310"/>
      <c r="G114" s="310"/>
      <c r="H114" s="227" t="s">
        <v>296</v>
      </c>
      <c r="I114" s="171">
        <f>SUM(J114:L114)</f>
        <v>34.39</v>
      </c>
      <c r="J114" s="315">
        <v>34.39</v>
      </c>
      <c r="K114" s="172">
        <v>0</v>
      </c>
      <c r="L114" s="173">
        <v>0</v>
      </c>
      <c r="M114" s="171">
        <f>SUM(N114:P114)</f>
        <v>45</v>
      </c>
      <c r="N114" s="315">
        <v>45</v>
      </c>
      <c r="O114" s="172"/>
      <c r="P114" s="173"/>
      <c r="Q114" s="239">
        <f>R114</f>
        <v>55</v>
      </c>
      <c r="R114" s="315">
        <v>55</v>
      </c>
      <c r="S114" s="172"/>
      <c r="T114" s="173"/>
      <c r="U114" s="58">
        <v>2021</v>
      </c>
      <c r="V114" s="19">
        <v>2025</v>
      </c>
    </row>
    <row r="115" spans="1:24" ht="47.4" customHeight="1" thickBot="1" x14ac:dyDescent="0.35">
      <c r="A115" s="312">
        <f t="shared" si="28"/>
        <v>24</v>
      </c>
      <c r="B115" s="9" t="s">
        <v>297</v>
      </c>
      <c r="C115" s="312">
        <v>32196</v>
      </c>
      <c r="D115" s="176" t="s">
        <v>298</v>
      </c>
      <c r="E115" s="177"/>
      <c r="F115" s="312"/>
      <c r="G115" s="312"/>
      <c r="H115" s="228" t="s">
        <v>296</v>
      </c>
      <c r="I115" s="180">
        <f>SUM(J115:L115)</f>
        <v>63</v>
      </c>
      <c r="J115" s="181">
        <v>63</v>
      </c>
      <c r="K115" s="182">
        <v>0</v>
      </c>
      <c r="L115" s="183">
        <v>0</v>
      </c>
      <c r="M115" s="180">
        <f>SUM(N115:P115)</f>
        <v>69.81</v>
      </c>
      <c r="N115" s="181">
        <v>69.81</v>
      </c>
      <c r="O115" s="182"/>
      <c r="P115" s="183"/>
      <c r="Q115" s="239">
        <f>R115</f>
        <v>35</v>
      </c>
      <c r="R115" s="181">
        <v>35</v>
      </c>
      <c r="S115" s="182"/>
      <c r="T115" s="183"/>
      <c r="U115" s="64">
        <v>2021</v>
      </c>
      <c r="V115" s="15">
        <v>2025</v>
      </c>
    </row>
    <row r="116" spans="1:24" s="121" customFormat="1" x14ac:dyDescent="0.3">
      <c r="A116" s="78"/>
      <c r="B116" s="320" t="s">
        <v>14</v>
      </c>
      <c r="C116" s="320"/>
      <c r="D116" s="320"/>
      <c r="E116" s="320"/>
      <c r="F116" s="320"/>
      <c r="G116" s="320"/>
      <c r="H116" s="320"/>
      <c r="I116" s="184">
        <f>SUM(I111:I115)</f>
        <v>211.53</v>
      </c>
      <c r="J116" s="185">
        <f>SUM(J111:J115)</f>
        <v>208.03</v>
      </c>
      <c r="K116" s="185">
        <f>SUM(K111:K115)</f>
        <v>3.5</v>
      </c>
      <c r="L116" s="185">
        <f>SUM(L111:L115)</f>
        <v>0</v>
      </c>
      <c r="M116" s="184">
        <f t="shared" ref="M116:T116" si="29">SUM(M111:M115)</f>
        <v>154.81</v>
      </c>
      <c r="N116" s="185">
        <f t="shared" si="29"/>
        <v>154.81</v>
      </c>
      <c r="O116" s="185">
        <f t="shared" si="29"/>
        <v>0</v>
      </c>
      <c r="P116" s="185">
        <f t="shared" si="29"/>
        <v>0</v>
      </c>
      <c r="Q116" s="185">
        <f t="shared" si="29"/>
        <v>140</v>
      </c>
      <c r="R116" s="185">
        <f t="shared" si="29"/>
        <v>140</v>
      </c>
      <c r="S116" s="185">
        <f t="shared" si="29"/>
        <v>0</v>
      </c>
      <c r="T116" s="185">
        <f t="shared" si="29"/>
        <v>0</v>
      </c>
      <c r="U116" s="105"/>
      <c r="V116" s="105"/>
      <c r="W116" s="291"/>
      <c r="X116" s="302"/>
    </row>
    <row r="117" spans="1:24" s="121" customFormat="1" x14ac:dyDescent="0.3">
      <c r="A117" s="78"/>
      <c r="B117" s="308"/>
      <c r="C117" s="308"/>
      <c r="D117" s="308"/>
      <c r="E117" s="308"/>
      <c r="F117" s="308"/>
      <c r="G117" s="308"/>
      <c r="H117" s="308" t="s">
        <v>374</v>
      </c>
      <c r="I117" s="3">
        <f>I83+I89+I93+I98+I103+I109+I116</f>
        <v>1262.8000000000002</v>
      </c>
      <c r="J117" s="3">
        <f>J83+J89+J93+J98+J103+J109+J116</f>
        <v>1080.1500000000001</v>
      </c>
      <c r="K117" s="3">
        <f t="shared" ref="K117:T117" si="30">K83+K89+K93+K98+K103+K109+K116</f>
        <v>42.05</v>
      </c>
      <c r="L117" s="3">
        <f t="shared" si="30"/>
        <v>140.60000000000002</v>
      </c>
      <c r="M117" s="3">
        <f t="shared" si="30"/>
        <v>1068.73</v>
      </c>
      <c r="N117" s="3">
        <f t="shared" si="30"/>
        <v>1068.73</v>
      </c>
      <c r="O117" s="3">
        <f t="shared" si="30"/>
        <v>0</v>
      </c>
      <c r="P117" s="3">
        <f t="shared" si="30"/>
        <v>0</v>
      </c>
      <c r="Q117" s="3">
        <f t="shared" si="30"/>
        <v>1184.3399999999999</v>
      </c>
      <c r="R117" s="3">
        <f t="shared" si="30"/>
        <v>1184.3399999999999</v>
      </c>
      <c r="S117" s="3">
        <f t="shared" si="30"/>
        <v>0</v>
      </c>
      <c r="T117" s="3">
        <f t="shared" si="30"/>
        <v>0</v>
      </c>
      <c r="U117" s="105"/>
      <c r="V117" s="105"/>
      <c r="W117" s="291"/>
      <c r="X117" s="302"/>
    </row>
    <row r="118" spans="1:24" s="121" customFormat="1" x14ac:dyDescent="0.3">
      <c r="A118" s="310"/>
      <c r="B118" s="241" t="s">
        <v>357</v>
      </c>
      <c r="C118" s="242"/>
      <c r="D118" s="241"/>
      <c r="E118" s="158"/>
      <c r="F118" s="160"/>
      <c r="G118" s="160"/>
      <c r="H118" s="158"/>
      <c r="I118" s="243"/>
      <c r="J118" s="244"/>
      <c r="K118" s="245"/>
      <c r="L118" s="245"/>
      <c r="M118" s="246"/>
      <c r="N118" s="246"/>
      <c r="O118" s="246"/>
      <c r="P118" s="246"/>
      <c r="Q118" s="246"/>
      <c r="R118" s="246"/>
      <c r="S118" s="247"/>
      <c r="T118" s="247"/>
      <c r="U118" s="248"/>
      <c r="V118" s="58"/>
      <c r="W118" s="291"/>
      <c r="X118" s="302"/>
    </row>
    <row r="119" spans="1:24" s="121" customFormat="1" ht="41.4" x14ac:dyDescent="0.3">
      <c r="A119" s="19">
        <v>25</v>
      </c>
      <c r="B119" s="21" t="s">
        <v>299</v>
      </c>
      <c r="C119" s="38">
        <v>1416</v>
      </c>
      <c r="D119" s="249" t="s">
        <v>300</v>
      </c>
      <c r="E119" s="250"/>
      <c r="F119" s="250"/>
      <c r="G119" s="250"/>
      <c r="H119" s="249" t="s">
        <v>301</v>
      </c>
      <c r="I119" s="354">
        <v>120</v>
      </c>
      <c r="J119" s="355">
        <v>120</v>
      </c>
      <c r="K119" s="314"/>
      <c r="L119" s="314"/>
      <c r="M119" s="359">
        <v>120</v>
      </c>
      <c r="N119" s="359">
        <v>120</v>
      </c>
      <c r="O119" s="315"/>
      <c r="P119" s="315"/>
      <c r="Q119" s="359">
        <v>120</v>
      </c>
      <c r="R119" s="359">
        <v>120</v>
      </c>
      <c r="S119" s="251"/>
      <c r="T119" s="251"/>
      <c r="U119" s="19">
        <v>2021</v>
      </c>
      <c r="V119" s="19">
        <v>2023</v>
      </c>
      <c r="W119" s="291"/>
      <c r="X119" s="302"/>
    </row>
    <row r="120" spans="1:24" s="121" customFormat="1" ht="41.4" x14ac:dyDescent="0.3">
      <c r="A120" s="19">
        <v>26</v>
      </c>
      <c r="B120" s="21" t="s">
        <v>302</v>
      </c>
      <c r="C120" s="38">
        <v>23599</v>
      </c>
      <c r="D120" s="252" t="s">
        <v>303</v>
      </c>
      <c r="E120" s="250"/>
      <c r="F120" s="250"/>
      <c r="G120" s="250"/>
      <c r="H120" s="249" t="s">
        <v>301</v>
      </c>
      <c r="I120" s="354"/>
      <c r="J120" s="355"/>
      <c r="K120" s="314"/>
      <c r="L120" s="314"/>
      <c r="M120" s="360"/>
      <c r="N120" s="360"/>
      <c r="O120" s="315"/>
      <c r="P120" s="315"/>
      <c r="Q120" s="360"/>
      <c r="R120" s="360"/>
      <c r="S120" s="251"/>
      <c r="T120" s="251"/>
      <c r="U120" s="19">
        <v>2021</v>
      </c>
      <c r="V120" s="19">
        <v>2023</v>
      </c>
      <c r="W120" s="291"/>
      <c r="X120" s="302"/>
    </row>
    <row r="121" spans="1:24" s="121" customFormat="1" ht="41.4" x14ac:dyDescent="0.3">
      <c r="A121" s="19">
        <v>27</v>
      </c>
      <c r="B121" s="21" t="s">
        <v>304</v>
      </c>
      <c r="C121" s="38">
        <v>30573</v>
      </c>
      <c r="D121" s="249" t="s">
        <v>305</v>
      </c>
      <c r="E121" s="250"/>
      <c r="F121" s="250"/>
      <c r="G121" s="250"/>
      <c r="H121" s="249" t="s">
        <v>301</v>
      </c>
      <c r="I121" s="354"/>
      <c r="J121" s="355"/>
      <c r="K121" s="314"/>
      <c r="L121" s="314"/>
      <c r="M121" s="360"/>
      <c r="N121" s="360"/>
      <c r="O121" s="315"/>
      <c r="P121" s="315"/>
      <c r="Q121" s="360"/>
      <c r="R121" s="360"/>
      <c r="S121" s="251"/>
      <c r="T121" s="251"/>
      <c r="U121" s="19">
        <v>2021</v>
      </c>
      <c r="V121" s="19">
        <v>2023</v>
      </c>
      <c r="W121" s="291"/>
      <c r="X121" s="302"/>
    </row>
    <row r="122" spans="1:24" s="121" customFormat="1" ht="41.4" x14ac:dyDescent="0.3">
      <c r="A122" s="19">
        <v>28</v>
      </c>
      <c r="B122" s="21" t="s">
        <v>306</v>
      </c>
      <c r="C122" s="38">
        <v>1422</v>
      </c>
      <c r="D122" s="249" t="s">
        <v>307</v>
      </c>
      <c r="E122" s="250"/>
      <c r="F122" s="250"/>
      <c r="G122" s="250"/>
      <c r="H122" s="249" t="s">
        <v>301</v>
      </c>
      <c r="I122" s="354"/>
      <c r="J122" s="355"/>
      <c r="K122" s="314"/>
      <c r="L122" s="314"/>
      <c r="M122" s="360"/>
      <c r="N122" s="360"/>
      <c r="O122" s="315"/>
      <c r="P122" s="315"/>
      <c r="Q122" s="360"/>
      <c r="R122" s="360"/>
      <c r="S122" s="251"/>
      <c r="T122" s="251"/>
      <c r="U122" s="19">
        <v>2021</v>
      </c>
      <c r="V122" s="19">
        <v>2023</v>
      </c>
      <c r="W122" s="291"/>
      <c r="X122" s="302"/>
    </row>
    <row r="123" spans="1:24" s="121" customFormat="1" ht="41.4" x14ac:dyDescent="0.3">
      <c r="A123" s="19">
        <v>29</v>
      </c>
      <c r="B123" s="21" t="s">
        <v>308</v>
      </c>
      <c r="C123" s="38">
        <v>30570</v>
      </c>
      <c r="D123" s="249" t="s">
        <v>309</v>
      </c>
      <c r="E123" s="250"/>
      <c r="F123" s="250"/>
      <c r="G123" s="250"/>
      <c r="H123" s="249" t="s">
        <v>301</v>
      </c>
      <c r="I123" s="354"/>
      <c r="J123" s="355"/>
      <c r="K123" s="314"/>
      <c r="L123" s="314"/>
      <c r="M123" s="360"/>
      <c r="N123" s="360"/>
      <c r="O123" s="315"/>
      <c r="P123" s="315"/>
      <c r="Q123" s="360"/>
      <c r="R123" s="360"/>
      <c r="S123" s="251"/>
      <c r="T123" s="251"/>
      <c r="U123" s="19">
        <v>2021</v>
      </c>
      <c r="V123" s="19">
        <v>2023</v>
      </c>
      <c r="W123" s="291"/>
      <c r="X123" s="302"/>
    </row>
    <row r="124" spans="1:24" s="121" customFormat="1" ht="41.4" x14ac:dyDescent="0.3">
      <c r="A124" s="19">
        <v>30</v>
      </c>
      <c r="B124" s="21" t="s">
        <v>310</v>
      </c>
      <c r="C124" s="38">
        <v>23593</v>
      </c>
      <c r="D124" s="249" t="s">
        <v>311</v>
      </c>
      <c r="E124" s="250"/>
      <c r="F124" s="250"/>
      <c r="G124" s="250"/>
      <c r="H124" s="249" t="s">
        <v>301</v>
      </c>
      <c r="I124" s="354"/>
      <c r="J124" s="355"/>
      <c r="K124" s="314"/>
      <c r="L124" s="314"/>
      <c r="M124" s="360"/>
      <c r="N124" s="360"/>
      <c r="O124" s="315"/>
      <c r="P124" s="315"/>
      <c r="Q124" s="360"/>
      <c r="R124" s="360"/>
      <c r="S124" s="251"/>
      <c r="T124" s="251"/>
      <c r="U124" s="19">
        <v>2021</v>
      </c>
      <c r="V124" s="19">
        <v>2023</v>
      </c>
      <c r="W124" s="291"/>
      <c r="X124" s="302"/>
    </row>
    <row r="125" spans="1:24" s="121" customFormat="1" ht="41.4" x14ac:dyDescent="0.3">
      <c r="A125" s="19">
        <v>31</v>
      </c>
      <c r="B125" s="22" t="s">
        <v>312</v>
      </c>
      <c r="C125" s="38">
        <v>24970</v>
      </c>
      <c r="D125" s="253" t="s">
        <v>313</v>
      </c>
      <c r="E125" s="250"/>
      <c r="F125" s="250"/>
      <c r="G125" s="250"/>
      <c r="H125" s="249" t="s">
        <v>301</v>
      </c>
      <c r="I125" s="354"/>
      <c r="J125" s="355"/>
      <c r="K125" s="314"/>
      <c r="L125" s="314"/>
      <c r="M125" s="360"/>
      <c r="N125" s="360"/>
      <c r="O125" s="315"/>
      <c r="P125" s="315"/>
      <c r="Q125" s="360"/>
      <c r="R125" s="360"/>
      <c r="S125" s="251"/>
      <c r="T125" s="251"/>
      <c r="U125" s="19">
        <v>2021</v>
      </c>
      <c r="V125" s="19">
        <v>2023</v>
      </c>
      <c r="W125" s="291"/>
      <c r="X125" s="302"/>
    </row>
    <row r="126" spans="1:24" s="121" customFormat="1" ht="41.4" x14ac:dyDescent="0.3">
      <c r="A126" s="19">
        <v>32</v>
      </c>
      <c r="B126" s="21" t="s">
        <v>314</v>
      </c>
      <c r="C126" s="38">
        <v>30588</v>
      </c>
      <c r="D126" s="249" t="s">
        <v>315</v>
      </c>
      <c r="E126" s="250"/>
      <c r="F126" s="250"/>
      <c r="G126" s="250"/>
      <c r="H126" s="249" t="s">
        <v>301</v>
      </c>
      <c r="I126" s="354"/>
      <c r="J126" s="355"/>
      <c r="K126" s="314"/>
      <c r="L126" s="314"/>
      <c r="M126" s="360"/>
      <c r="N126" s="360"/>
      <c r="O126" s="315"/>
      <c r="P126" s="315"/>
      <c r="Q126" s="360"/>
      <c r="R126" s="360"/>
      <c r="S126" s="251"/>
      <c r="T126" s="251"/>
      <c r="U126" s="19">
        <v>2021</v>
      </c>
      <c r="V126" s="19">
        <v>2023</v>
      </c>
      <c r="W126" s="291"/>
      <c r="X126" s="302"/>
    </row>
    <row r="127" spans="1:24" s="121" customFormat="1" ht="41.4" x14ac:dyDescent="0.3">
      <c r="A127" s="19">
        <v>33</v>
      </c>
      <c r="B127" s="21" t="s">
        <v>316</v>
      </c>
      <c r="C127" s="38">
        <v>23457</v>
      </c>
      <c r="D127" s="249" t="s">
        <v>277</v>
      </c>
      <c r="E127" s="250"/>
      <c r="F127" s="250"/>
      <c r="G127" s="250"/>
      <c r="H127" s="249" t="s">
        <v>301</v>
      </c>
      <c r="I127" s="354"/>
      <c r="J127" s="355"/>
      <c r="K127" s="314"/>
      <c r="L127" s="314"/>
      <c r="M127" s="360"/>
      <c r="N127" s="360"/>
      <c r="O127" s="315"/>
      <c r="P127" s="315"/>
      <c r="Q127" s="360"/>
      <c r="R127" s="360"/>
      <c r="S127" s="251"/>
      <c r="T127" s="251"/>
      <c r="U127" s="19">
        <v>2021</v>
      </c>
      <c r="V127" s="19">
        <v>2023</v>
      </c>
      <c r="W127" s="291"/>
      <c r="X127" s="302"/>
    </row>
    <row r="128" spans="1:24" s="121" customFormat="1" ht="41.4" x14ac:dyDescent="0.3">
      <c r="A128" s="19">
        <v>34</v>
      </c>
      <c r="B128" s="21" t="s">
        <v>317</v>
      </c>
      <c r="C128" s="38">
        <v>29840</v>
      </c>
      <c r="D128" s="249" t="s">
        <v>318</v>
      </c>
      <c r="E128" s="250"/>
      <c r="F128" s="250"/>
      <c r="G128" s="250"/>
      <c r="H128" s="249" t="s">
        <v>301</v>
      </c>
      <c r="I128" s="354"/>
      <c r="J128" s="355"/>
      <c r="K128" s="314"/>
      <c r="L128" s="314"/>
      <c r="M128" s="360"/>
      <c r="N128" s="360"/>
      <c r="O128" s="315"/>
      <c r="P128" s="315"/>
      <c r="Q128" s="360"/>
      <c r="R128" s="360"/>
      <c r="S128" s="251"/>
      <c r="T128" s="251"/>
      <c r="U128" s="19">
        <v>2021</v>
      </c>
      <c r="V128" s="19">
        <v>2023</v>
      </c>
      <c r="W128" s="291"/>
      <c r="X128" s="302"/>
    </row>
    <row r="129" spans="1:24" s="121" customFormat="1" ht="41.4" x14ac:dyDescent="0.3">
      <c r="A129" s="19">
        <v>35</v>
      </c>
      <c r="B129" s="21" t="s">
        <v>319</v>
      </c>
      <c r="C129" s="38">
        <v>25938</v>
      </c>
      <c r="D129" s="249" t="s">
        <v>320</v>
      </c>
      <c r="E129" s="250"/>
      <c r="F129" s="250"/>
      <c r="G129" s="250"/>
      <c r="H129" s="249" t="s">
        <v>301</v>
      </c>
      <c r="I129" s="354"/>
      <c r="J129" s="355"/>
      <c r="K129" s="314"/>
      <c r="L129" s="314"/>
      <c r="M129" s="360"/>
      <c r="N129" s="360"/>
      <c r="O129" s="315"/>
      <c r="P129" s="315"/>
      <c r="Q129" s="360"/>
      <c r="R129" s="360"/>
      <c r="S129" s="251"/>
      <c r="T129" s="251"/>
      <c r="U129" s="19">
        <v>2021</v>
      </c>
      <c r="V129" s="19">
        <v>2023</v>
      </c>
      <c r="W129" s="291"/>
      <c r="X129" s="302"/>
    </row>
    <row r="130" spans="1:24" s="121" customFormat="1" ht="41.4" x14ac:dyDescent="0.3">
      <c r="A130" s="19">
        <v>36</v>
      </c>
      <c r="B130" s="21" t="s">
        <v>321</v>
      </c>
      <c r="C130" s="38">
        <v>22376</v>
      </c>
      <c r="D130" s="249" t="s">
        <v>322</v>
      </c>
      <c r="E130" s="250"/>
      <c r="F130" s="250"/>
      <c r="G130" s="250"/>
      <c r="H130" s="249" t="s">
        <v>301</v>
      </c>
      <c r="I130" s="354"/>
      <c r="J130" s="355"/>
      <c r="K130" s="314"/>
      <c r="L130" s="314"/>
      <c r="M130" s="360"/>
      <c r="N130" s="360"/>
      <c r="O130" s="315"/>
      <c r="P130" s="315"/>
      <c r="Q130" s="360"/>
      <c r="R130" s="360"/>
      <c r="S130" s="251"/>
      <c r="T130" s="251"/>
      <c r="U130" s="19">
        <v>2021</v>
      </c>
      <c r="V130" s="19">
        <v>2023</v>
      </c>
      <c r="W130" s="291"/>
      <c r="X130" s="302"/>
    </row>
    <row r="131" spans="1:24" s="121" customFormat="1" ht="41.4" x14ac:dyDescent="0.3">
      <c r="A131" s="19">
        <v>37</v>
      </c>
      <c r="B131" s="21" t="s">
        <v>323</v>
      </c>
      <c r="C131" s="38">
        <v>2822</v>
      </c>
      <c r="D131" s="249" t="s">
        <v>324</v>
      </c>
      <c r="E131" s="250"/>
      <c r="F131" s="250"/>
      <c r="G131" s="250"/>
      <c r="H131" s="249" t="s">
        <v>301</v>
      </c>
      <c r="I131" s="354"/>
      <c r="J131" s="355"/>
      <c r="K131" s="314"/>
      <c r="L131" s="314"/>
      <c r="M131" s="360"/>
      <c r="N131" s="360"/>
      <c r="O131" s="315"/>
      <c r="P131" s="315"/>
      <c r="Q131" s="360"/>
      <c r="R131" s="360"/>
      <c r="S131" s="251"/>
      <c r="T131" s="251"/>
      <c r="U131" s="19">
        <v>2021</v>
      </c>
      <c r="V131" s="19">
        <v>2023</v>
      </c>
      <c r="W131" s="291"/>
      <c r="X131" s="302"/>
    </row>
    <row r="132" spans="1:24" s="121" customFormat="1" ht="41.4" x14ac:dyDescent="0.3">
      <c r="A132" s="19">
        <v>38</v>
      </c>
      <c r="B132" s="21" t="s">
        <v>325</v>
      </c>
      <c r="C132" s="38">
        <v>3038</v>
      </c>
      <c r="D132" s="249" t="s">
        <v>326</v>
      </c>
      <c r="E132" s="250"/>
      <c r="F132" s="250"/>
      <c r="G132" s="250"/>
      <c r="H132" s="249" t="s">
        <v>301</v>
      </c>
      <c r="I132" s="354"/>
      <c r="J132" s="355"/>
      <c r="K132" s="314"/>
      <c r="L132" s="314"/>
      <c r="M132" s="360"/>
      <c r="N132" s="360"/>
      <c r="O132" s="315"/>
      <c r="P132" s="315"/>
      <c r="Q132" s="360"/>
      <c r="R132" s="360"/>
      <c r="S132" s="251"/>
      <c r="T132" s="251"/>
      <c r="U132" s="19">
        <v>2021</v>
      </c>
      <c r="V132" s="19">
        <v>2023</v>
      </c>
      <c r="W132" s="291"/>
      <c r="X132" s="302"/>
    </row>
    <row r="133" spans="1:24" s="121" customFormat="1" ht="41.4" x14ac:dyDescent="0.3">
      <c r="A133" s="19">
        <v>39</v>
      </c>
      <c r="B133" s="21" t="s">
        <v>327</v>
      </c>
      <c r="C133" s="38">
        <v>22186</v>
      </c>
      <c r="D133" s="249" t="s">
        <v>328</v>
      </c>
      <c r="E133" s="250"/>
      <c r="F133" s="250"/>
      <c r="G133" s="250"/>
      <c r="H133" s="249" t="s">
        <v>301</v>
      </c>
      <c r="I133" s="354"/>
      <c r="J133" s="355"/>
      <c r="K133" s="314"/>
      <c r="L133" s="314"/>
      <c r="M133" s="360"/>
      <c r="N133" s="360"/>
      <c r="O133" s="315"/>
      <c r="P133" s="315"/>
      <c r="Q133" s="360"/>
      <c r="R133" s="360"/>
      <c r="S133" s="251"/>
      <c r="T133" s="251"/>
      <c r="U133" s="19">
        <v>2021</v>
      </c>
      <c r="V133" s="19">
        <v>2023</v>
      </c>
      <c r="W133" s="291"/>
      <c r="X133" s="302"/>
    </row>
    <row r="134" spans="1:24" s="121" customFormat="1" ht="41.4" x14ac:dyDescent="0.3">
      <c r="A134" s="19">
        <v>40</v>
      </c>
      <c r="B134" s="21" t="s">
        <v>329</v>
      </c>
      <c r="C134" s="38">
        <v>23691</v>
      </c>
      <c r="D134" s="249" t="s">
        <v>330</v>
      </c>
      <c r="E134" s="250"/>
      <c r="F134" s="250"/>
      <c r="G134" s="250"/>
      <c r="H134" s="249" t="s">
        <v>301</v>
      </c>
      <c r="I134" s="354"/>
      <c r="J134" s="355"/>
      <c r="K134" s="314"/>
      <c r="L134" s="314"/>
      <c r="M134" s="360"/>
      <c r="N134" s="360"/>
      <c r="O134" s="315"/>
      <c r="P134" s="315"/>
      <c r="Q134" s="360"/>
      <c r="R134" s="360"/>
      <c r="S134" s="251"/>
      <c r="T134" s="251"/>
      <c r="U134" s="19">
        <v>2021</v>
      </c>
      <c r="V134" s="19">
        <v>2023</v>
      </c>
      <c r="W134" s="291"/>
      <c r="X134" s="302"/>
    </row>
    <row r="135" spans="1:24" s="121" customFormat="1" ht="41.4" x14ac:dyDescent="0.3">
      <c r="A135" s="19">
        <v>41</v>
      </c>
      <c r="B135" s="21" t="s">
        <v>331</v>
      </c>
      <c r="C135" s="38">
        <v>22183</v>
      </c>
      <c r="D135" s="249" t="s">
        <v>332</v>
      </c>
      <c r="E135" s="250"/>
      <c r="F135" s="250"/>
      <c r="G135" s="250"/>
      <c r="H135" s="249" t="s">
        <v>301</v>
      </c>
      <c r="I135" s="354"/>
      <c r="J135" s="355"/>
      <c r="K135" s="314"/>
      <c r="L135" s="314"/>
      <c r="M135" s="360"/>
      <c r="N135" s="360"/>
      <c r="O135" s="315"/>
      <c r="P135" s="315"/>
      <c r="Q135" s="360"/>
      <c r="R135" s="360"/>
      <c r="S135" s="251"/>
      <c r="T135" s="251"/>
      <c r="U135" s="19">
        <v>2021</v>
      </c>
      <c r="V135" s="19">
        <v>2023</v>
      </c>
      <c r="W135" s="291"/>
      <c r="X135" s="302"/>
    </row>
    <row r="136" spans="1:24" s="121" customFormat="1" ht="41.4" x14ac:dyDescent="0.3">
      <c r="A136" s="19">
        <v>42</v>
      </c>
      <c r="B136" s="21" t="s">
        <v>333</v>
      </c>
      <c r="C136" s="38">
        <v>28311</v>
      </c>
      <c r="D136" s="249" t="s">
        <v>334</v>
      </c>
      <c r="E136" s="250"/>
      <c r="F136" s="250"/>
      <c r="G136" s="250"/>
      <c r="H136" s="249" t="s">
        <v>301</v>
      </c>
      <c r="I136" s="354"/>
      <c r="J136" s="355"/>
      <c r="K136" s="314"/>
      <c r="L136" s="314"/>
      <c r="M136" s="360"/>
      <c r="N136" s="360"/>
      <c r="O136" s="315"/>
      <c r="P136" s="315"/>
      <c r="Q136" s="360"/>
      <c r="R136" s="360"/>
      <c r="S136" s="251"/>
      <c r="T136" s="251"/>
      <c r="U136" s="19">
        <v>2021</v>
      </c>
      <c r="V136" s="19">
        <v>2024</v>
      </c>
      <c r="W136" s="291"/>
      <c r="X136" s="302"/>
    </row>
    <row r="137" spans="1:24" s="121" customFormat="1" ht="55.2" x14ac:dyDescent="0.3">
      <c r="A137" s="19">
        <v>43</v>
      </c>
      <c r="B137" s="21" t="s">
        <v>335</v>
      </c>
      <c r="C137" s="38">
        <v>28195</v>
      </c>
      <c r="D137" s="249" t="s">
        <v>336</v>
      </c>
      <c r="E137" s="250"/>
      <c r="F137" s="250"/>
      <c r="G137" s="250"/>
      <c r="H137" s="249" t="s">
        <v>301</v>
      </c>
      <c r="I137" s="354"/>
      <c r="J137" s="355"/>
      <c r="K137" s="314"/>
      <c r="L137" s="314"/>
      <c r="M137" s="360"/>
      <c r="N137" s="360"/>
      <c r="O137" s="315"/>
      <c r="P137" s="315"/>
      <c r="Q137" s="360"/>
      <c r="R137" s="360"/>
      <c r="S137" s="251"/>
      <c r="T137" s="251"/>
      <c r="U137" s="19">
        <v>2021</v>
      </c>
      <c r="V137" s="19">
        <v>2024</v>
      </c>
      <c r="W137" s="291"/>
      <c r="X137" s="302"/>
    </row>
    <row r="138" spans="1:24" s="121" customFormat="1" ht="41.4" x14ac:dyDescent="0.3">
      <c r="A138" s="19">
        <v>44</v>
      </c>
      <c r="B138" s="21" t="s">
        <v>337</v>
      </c>
      <c r="C138" s="38">
        <v>15983</v>
      </c>
      <c r="D138" s="249" t="s">
        <v>338</v>
      </c>
      <c r="E138" s="250"/>
      <c r="F138" s="250"/>
      <c r="G138" s="250"/>
      <c r="H138" s="249" t="s">
        <v>301</v>
      </c>
      <c r="I138" s="354"/>
      <c r="J138" s="355"/>
      <c r="K138" s="314"/>
      <c r="L138" s="314"/>
      <c r="M138" s="360"/>
      <c r="N138" s="360"/>
      <c r="O138" s="315"/>
      <c r="P138" s="315"/>
      <c r="Q138" s="360"/>
      <c r="R138" s="360"/>
      <c r="S138" s="251"/>
      <c r="T138" s="251"/>
      <c r="U138" s="19">
        <v>2021</v>
      </c>
      <c r="V138" s="19">
        <v>2024</v>
      </c>
      <c r="W138" s="291"/>
      <c r="X138" s="302"/>
    </row>
    <row r="139" spans="1:24" s="121" customFormat="1" ht="41.4" x14ac:dyDescent="0.3">
      <c r="A139" s="19">
        <v>45</v>
      </c>
      <c r="B139" s="21" t="s">
        <v>339</v>
      </c>
      <c r="C139" s="38">
        <v>23656</v>
      </c>
      <c r="D139" s="249" t="s">
        <v>340</v>
      </c>
      <c r="E139" s="250"/>
      <c r="F139" s="250"/>
      <c r="G139" s="250"/>
      <c r="H139" s="249" t="s">
        <v>301</v>
      </c>
      <c r="I139" s="354"/>
      <c r="J139" s="355"/>
      <c r="K139" s="314"/>
      <c r="L139" s="314"/>
      <c r="M139" s="360"/>
      <c r="N139" s="360"/>
      <c r="O139" s="315"/>
      <c r="P139" s="315"/>
      <c r="Q139" s="360"/>
      <c r="R139" s="360"/>
      <c r="S139" s="251"/>
      <c r="T139" s="251"/>
      <c r="U139" s="19">
        <v>2021</v>
      </c>
      <c r="V139" s="19">
        <v>2024</v>
      </c>
      <c r="W139" s="291"/>
      <c r="X139" s="302"/>
    </row>
    <row r="140" spans="1:24" s="121" customFormat="1" ht="41.4" x14ac:dyDescent="0.3">
      <c r="A140" s="19">
        <v>46</v>
      </c>
      <c r="B140" s="21" t="s">
        <v>341</v>
      </c>
      <c r="C140" s="38">
        <v>23668</v>
      </c>
      <c r="D140" s="249" t="s">
        <v>342</v>
      </c>
      <c r="E140" s="250"/>
      <c r="F140" s="250"/>
      <c r="G140" s="250"/>
      <c r="H140" s="249" t="s">
        <v>301</v>
      </c>
      <c r="I140" s="354"/>
      <c r="J140" s="355"/>
      <c r="K140" s="314"/>
      <c r="L140" s="314"/>
      <c r="M140" s="360"/>
      <c r="N140" s="360"/>
      <c r="O140" s="315"/>
      <c r="P140" s="315"/>
      <c r="Q140" s="360"/>
      <c r="R140" s="360"/>
      <c r="S140" s="251"/>
      <c r="T140" s="251"/>
      <c r="U140" s="19">
        <v>2021</v>
      </c>
      <c r="V140" s="19">
        <v>2024</v>
      </c>
      <c r="W140" s="291"/>
      <c r="X140" s="302"/>
    </row>
    <row r="141" spans="1:24" s="121" customFormat="1" ht="41.4" x14ac:dyDescent="0.3">
      <c r="A141" s="19">
        <v>47</v>
      </c>
      <c r="B141" s="21" t="s">
        <v>343</v>
      </c>
      <c r="C141" s="38">
        <v>28090</v>
      </c>
      <c r="D141" s="249" t="s">
        <v>344</v>
      </c>
      <c r="E141" s="250"/>
      <c r="F141" s="250"/>
      <c r="G141" s="250"/>
      <c r="H141" s="249" t="s">
        <v>301</v>
      </c>
      <c r="I141" s="354"/>
      <c r="J141" s="355"/>
      <c r="K141" s="314"/>
      <c r="L141" s="314"/>
      <c r="M141" s="360"/>
      <c r="N141" s="360"/>
      <c r="O141" s="315"/>
      <c r="P141" s="315"/>
      <c r="Q141" s="360"/>
      <c r="R141" s="360"/>
      <c r="S141" s="251"/>
      <c r="T141" s="251"/>
      <c r="U141" s="19">
        <v>2021</v>
      </c>
      <c r="V141" s="19">
        <v>2024</v>
      </c>
      <c r="W141" s="291"/>
      <c r="X141" s="302"/>
    </row>
    <row r="142" spans="1:24" s="121" customFormat="1" ht="41.4" x14ac:dyDescent="0.3">
      <c r="A142" s="19">
        <v>48</v>
      </c>
      <c r="B142" s="21" t="s">
        <v>345</v>
      </c>
      <c r="C142" s="38">
        <v>23651</v>
      </c>
      <c r="D142" s="249" t="s">
        <v>346</v>
      </c>
      <c r="E142" s="250"/>
      <c r="F142" s="250"/>
      <c r="G142" s="250"/>
      <c r="H142" s="249" t="s">
        <v>301</v>
      </c>
      <c r="I142" s="354"/>
      <c r="J142" s="355"/>
      <c r="K142" s="314"/>
      <c r="L142" s="314"/>
      <c r="M142" s="360"/>
      <c r="N142" s="360"/>
      <c r="O142" s="315"/>
      <c r="P142" s="315"/>
      <c r="Q142" s="360"/>
      <c r="R142" s="360"/>
      <c r="S142" s="251"/>
      <c r="T142" s="251"/>
      <c r="U142" s="19">
        <v>2021</v>
      </c>
      <c r="V142" s="19">
        <v>2024</v>
      </c>
      <c r="W142" s="291"/>
      <c r="X142" s="302"/>
    </row>
    <row r="143" spans="1:24" s="121" customFormat="1" ht="57" customHeight="1" x14ac:dyDescent="0.3">
      <c r="A143" s="19">
        <v>49</v>
      </c>
      <c r="B143" s="21" t="s">
        <v>347</v>
      </c>
      <c r="C143" s="38">
        <v>26954</v>
      </c>
      <c r="D143" s="254" t="s">
        <v>348</v>
      </c>
      <c r="E143" s="250"/>
      <c r="F143" s="250"/>
      <c r="G143" s="250"/>
      <c r="H143" s="317" t="s">
        <v>301</v>
      </c>
      <c r="I143" s="354"/>
      <c r="J143" s="355"/>
      <c r="K143" s="314"/>
      <c r="L143" s="314"/>
      <c r="M143" s="361"/>
      <c r="N143" s="361"/>
      <c r="O143" s="315"/>
      <c r="P143" s="315"/>
      <c r="Q143" s="361"/>
      <c r="R143" s="361"/>
      <c r="S143" s="251"/>
      <c r="T143" s="251"/>
      <c r="U143" s="19">
        <v>2021</v>
      </c>
      <c r="V143" s="19">
        <v>2024</v>
      </c>
      <c r="W143" s="291"/>
      <c r="X143" s="302"/>
    </row>
    <row r="144" spans="1:24" s="121" customFormat="1" x14ac:dyDescent="0.3">
      <c r="A144" s="255"/>
      <c r="B144" s="249"/>
      <c r="C144" s="38"/>
      <c r="D144" s="356" t="s">
        <v>375</v>
      </c>
      <c r="E144" s="357"/>
      <c r="F144" s="357"/>
      <c r="G144" s="357"/>
      <c r="H144" s="358"/>
      <c r="I144" s="185">
        <v>120</v>
      </c>
      <c r="J144" s="316">
        <v>120</v>
      </c>
      <c r="K144" s="314"/>
      <c r="L144" s="314"/>
      <c r="M144" s="184">
        <f>SUM(M119:M143)</f>
        <v>120</v>
      </c>
      <c r="N144" s="184">
        <f>SUM(N119:N143)</f>
        <v>120</v>
      </c>
      <c r="O144" s="184">
        <f t="shared" ref="O144:T144" si="31">SUM(O119:O143)</f>
        <v>0</v>
      </c>
      <c r="P144" s="184">
        <f t="shared" si="31"/>
        <v>0</v>
      </c>
      <c r="Q144" s="184">
        <f>SUM(Q119:Q143)</f>
        <v>120</v>
      </c>
      <c r="R144" s="184">
        <f>SUM(R119:R143)</f>
        <v>120</v>
      </c>
      <c r="S144" s="184">
        <f t="shared" si="31"/>
        <v>0</v>
      </c>
      <c r="T144" s="184">
        <f t="shared" si="31"/>
        <v>0</v>
      </c>
      <c r="U144" s="19"/>
      <c r="V144" s="19"/>
      <c r="W144" s="291"/>
      <c r="X144" s="302"/>
    </row>
    <row r="145" spans="1:24" s="121" customFormat="1" ht="21.75" customHeight="1" thickBot="1" x14ac:dyDescent="0.35">
      <c r="A145" s="140"/>
      <c r="B145" s="325" t="s">
        <v>376</v>
      </c>
      <c r="C145" s="325"/>
      <c r="D145" s="325"/>
      <c r="E145" s="325"/>
      <c r="F145" s="325"/>
      <c r="G145" s="325"/>
      <c r="H145" s="326"/>
      <c r="I145" s="141">
        <f>SUM(I117,I144)</f>
        <v>1382.8000000000002</v>
      </c>
      <c r="J145" s="141">
        <f>SUM(J117,J144)</f>
        <v>1200.1500000000001</v>
      </c>
      <c r="K145" s="141">
        <f t="shared" ref="K145:T145" si="32">SUM(K117,K144)</f>
        <v>42.05</v>
      </c>
      <c r="L145" s="141">
        <f t="shared" si="32"/>
        <v>140.60000000000002</v>
      </c>
      <c r="M145" s="141">
        <f t="shared" si="32"/>
        <v>1188.73</v>
      </c>
      <c r="N145" s="141">
        <f t="shared" si="32"/>
        <v>1188.73</v>
      </c>
      <c r="O145" s="141">
        <f t="shared" si="32"/>
        <v>0</v>
      </c>
      <c r="P145" s="141">
        <f t="shared" si="32"/>
        <v>0</v>
      </c>
      <c r="Q145" s="141">
        <f t="shared" si="32"/>
        <v>1304.3399999999999</v>
      </c>
      <c r="R145" s="141">
        <f t="shared" si="32"/>
        <v>1304.3399999999999</v>
      </c>
      <c r="S145" s="141">
        <f t="shared" si="32"/>
        <v>0</v>
      </c>
      <c r="T145" s="141">
        <f t="shared" si="32"/>
        <v>0</v>
      </c>
      <c r="U145" s="146"/>
      <c r="V145" s="147"/>
      <c r="W145" s="291"/>
      <c r="X145" s="302"/>
    </row>
    <row r="146" spans="1:24" s="121" customFormat="1" x14ac:dyDescent="0.3">
      <c r="A146" s="256"/>
      <c r="B146" s="257"/>
      <c r="C146" s="258"/>
      <c r="D146" s="259"/>
      <c r="E146" s="259"/>
      <c r="F146" s="259"/>
      <c r="G146" s="259"/>
      <c r="H146" s="259"/>
      <c r="I146" s="4"/>
      <c r="J146" s="260"/>
      <c r="K146" s="4"/>
      <c r="L146" s="4"/>
      <c r="M146" s="261"/>
      <c r="N146" s="261"/>
      <c r="O146" s="261"/>
      <c r="P146" s="261"/>
      <c r="Q146" s="261"/>
      <c r="R146" s="261"/>
      <c r="S146" s="261"/>
      <c r="T146" s="261"/>
      <c r="U146" s="262"/>
      <c r="V146" s="64"/>
      <c r="W146" s="291"/>
      <c r="X146" s="302"/>
    </row>
    <row r="147" spans="1:24" s="121" customFormat="1" ht="16.2" thickBot="1" x14ac:dyDescent="0.35">
      <c r="A147" s="362" t="s">
        <v>362</v>
      </c>
      <c r="B147" s="363"/>
      <c r="C147" s="363"/>
      <c r="D147" s="363"/>
      <c r="E147" s="363"/>
      <c r="F147" s="363"/>
      <c r="G147" s="363"/>
      <c r="H147" s="363"/>
      <c r="I147" s="363"/>
      <c r="J147" s="363"/>
      <c r="K147" s="363"/>
      <c r="L147" s="363"/>
      <c r="M147" s="363"/>
      <c r="N147" s="363"/>
      <c r="O147" s="363"/>
      <c r="P147" s="363"/>
      <c r="Q147" s="363"/>
      <c r="R147" s="363"/>
      <c r="S147" s="363"/>
      <c r="T147" s="363"/>
      <c r="U147" s="363"/>
      <c r="V147" s="364"/>
      <c r="W147" s="291"/>
      <c r="X147" s="302"/>
    </row>
    <row r="148" spans="1:24" s="121" customFormat="1" ht="41.4" x14ac:dyDescent="0.3">
      <c r="A148" s="38">
        <v>1</v>
      </c>
      <c r="B148" s="10" t="s">
        <v>211</v>
      </c>
      <c r="C148" s="38">
        <v>41258</v>
      </c>
      <c r="D148" s="7" t="s">
        <v>102</v>
      </c>
      <c r="E148" s="263"/>
      <c r="F148" s="19"/>
      <c r="G148" s="19"/>
      <c r="H148" s="40" t="s">
        <v>212</v>
      </c>
      <c r="I148" s="264">
        <f>SUM(J148:L148)</f>
        <v>6</v>
      </c>
      <c r="J148" s="109">
        <v>6</v>
      </c>
      <c r="K148" s="110">
        <v>0</v>
      </c>
      <c r="L148" s="111">
        <v>0</v>
      </c>
      <c r="M148" s="265"/>
      <c r="N148" s="266"/>
      <c r="O148" s="267"/>
      <c r="P148" s="268"/>
      <c r="Q148" s="265"/>
      <c r="R148" s="266"/>
      <c r="S148" s="267"/>
      <c r="T148" s="269"/>
      <c r="U148" s="19">
        <v>2021</v>
      </c>
      <c r="V148" s="19">
        <v>2021</v>
      </c>
      <c r="W148" s="291"/>
      <c r="X148" s="302"/>
    </row>
    <row r="149" spans="1:24" s="121" customFormat="1" ht="35.25" customHeight="1" thickBot="1" x14ac:dyDescent="0.35">
      <c r="A149" s="53">
        <v>2</v>
      </c>
      <c r="B149" s="9" t="s">
        <v>213</v>
      </c>
      <c r="C149" s="53">
        <v>34860</v>
      </c>
      <c r="D149" s="61" t="s">
        <v>214</v>
      </c>
      <c r="E149" s="270"/>
      <c r="F149" s="15"/>
      <c r="G149" s="15"/>
      <c r="H149" s="62" t="s">
        <v>212</v>
      </c>
      <c r="I149" s="271">
        <f>SUM(J149:L149)</f>
        <v>25.6</v>
      </c>
      <c r="J149" s="101">
        <v>25.6</v>
      </c>
      <c r="K149" s="102">
        <v>0</v>
      </c>
      <c r="L149" s="103">
        <v>0</v>
      </c>
      <c r="M149" s="272"/>
      <c r="N149" s="273"/>
      <c r="O149" s="274"/>
      <c r="P149" s="275"/>
      <c r="Q149" s="272"/>
      <c r="R149" s="273"/>
      <c r="S149" s="274"/>
      <c r="T149" s="275"/>
      <c r="U149" s="64">
        <v>2021</v>
      </c>
      <c r="V149" s="15">
        <v>2021</v>
      </c>
      <c r="W149" s="291"/>
      <c r="X149" s="302"/>
    </row>
    <row r="150" spans="1:24" s="121" customFormat="1" x14ac:dyDescent="0.3">
      <c r="A150" s="365" t="s">
        <v>14</v>
      </c>
      <c r="B150" s="365"/>
      <c r="C150" s="365"/>
      <c r="D150" s="365"/>
      <c r="E150" s="365"/>
      <c r="F150" s="365"/>
      <c r="G150" s="365"/>
      <c r="H150" s="365"/>
      <c r="I150" s="104">
        <f>SUM(I148:I149)</f>
        <v>31.6</v>
      </c>
      <c r="J150" s="104">
        <f>SUM(J148:J149)</f>
        <v>31.6</v>
      </c>
      <c r="K150" s="104">
        <f>SUM(K148:K149)</f>
        <v>0</v>
      </c>
      <c r="L150" s="104">
        <f>SUM(L148:L149)</f>
        <v>0</v>
      </c>
      <c r="M150" s="276">
        <f t="shared" ref="M150:T150" si="33">SUM(M148:M149)</f>
        <v>0</v>
      </c>
      <c r="N150" s="277">
        <f t="shared" si="33"/>
        <v>0</v>
      </c>
      <c r="O150" s="276">
        <f t="shared" si="33"/>
        <v>0</v>
      </c>
      <c r="P150" s="276">
        <f t="shared" si="33"/>
        <v>0</v>
      </c>
      <c r="Q150" s="276">
        <f t="shared" si="33"/>
        <v>0</v>
      </c>
      <c r="R150" s="277">
        <f t="shared" si="33"/>
        <v>0</v>
      </c>
      <c r="S150" s="276">
        <f t="shared" si="33"/>
        <v>0</v>
      </c>
      <c r="T150" s="276">
        <f t="shared" si="33"/>
        <v>0</v>
      </c>
      <c r="U150" s="19"/>
      <c r="V150" s="19"/>
      <c r="W150" s="291"/>
      <c r="X150" s="302"/>
    </row>
    <row r="151" spans="1:24" ht="24" customHeight="1" x14ac:dyDescent="0.3">
      <c r="A151" s="351" t="s">
        <v>363</v>
      </c>
      <c r="B151" s="352"/>
      <c r="C151" s="352"/>
      <c r="D151" s="352"/>
      <c r="E151" s="352"/>
      <c r="F151" s="352"/>
      <c r="G151" s="352"/>
      <c r="H151" s="352"/>
      <c r="I151" s="352"/>
      <c r="J151" s="352"/>
      <c r="K151" s="352"/>
      <c r="L151" s="352"/>
      <c r="M151" s="352"/>
      <c r="N151" s="352"/>
      <c r="O151" s="352"/>
      <c r="P151" s="352"/>
      <c r="Q151" s="352"/>
      <c r="R151" s="352"/>
      <c r="S151" s="352"/>
      <c r="T151" s="352"/>
      <c r="U151" s="352"/>
      <c r="V151" s="353"/>
    </row>
    <row r="152" spans="1:24" ht="19.5" customHeight="1" x14ac:dyDescent="0.3">
      <c r="A152" s="78"/>
      <c r="B152" s="240"/>
      <c r="C152" s="240"/>
      <c r="D152" s="240"/>
      <c r="E152" s="240"/>
      <c r="F152" s="240"/>
      <c r="G152" s="240"/>
      <c r="H152" s="308" t="s">
        <v>377</v>
      </c>
      <c r="I152" s="314">
        <v>30.03</v>
      </c>
      <c r="J152" s="314">
        <v>30.03</v>
      </c>
      <c r="K152" s="314"/>
      <c r="L152" s="314"/>
      <c r="M152" s="23">
        <f>197.04+34.17</f>
        <v>231.20999999999998</v>
      </c>
      <c r="N152" s="23">
        <f>197.04+34.17</f>
        <v>231.20999999999998</v>
      </c>
      <c r="O152" s="314"/>
      <c r="P152" s="1"/>
      <c r="Q152" s="23">
        <v>245.6</v>
      </c>
      <c r="R152" s="23">
        <v>245.6</v>
      </c>
      <c r="S152" s="1"/>
      <c r="T152" s="1"/>
      <c r="U152" s="147"/>
      <c r="V152" s="147"/>
      <c r="X152" s="294">
        <v>42.54</v>
      </c>
    </row>
    <row r="153" spans="1:24" s="121" customFormat="1" ht="19.5" customHeight="1" x14ac:dyDescent="0.3">
      <c r="A153" s="78"/>
      <c r="B153" s="240"/>
      <c r="C153" s="240"/>
      <c r="D153" s="240"/>
      <c r="E153" s="240"/>
      <c r="F153" s="240"/>
      <c r="G153" s="240"/>
      <c r="H153" s="308" t="s">
        <v>378</v>
      </c>
      <c r="I153" s="314">
        <v>30.66</v>
      </c>
      <c r="J153" s="314">
        <v>30.66</v>
      </c>
      <c r="K153" s="314"/>
      <c r="L153" s="314"/>
      <c r="M153" s="3">
        <v>283.27</v>
      </c>
      <c r="N153" s="3">
        <v>283.27</v>
      </c>
      <c r="O153" s="314"/>
      <c r="P153" s="1"/>
      <c r="Q153" s="1">
        <v>297.66000000000003</v>
      </c>
      <c r="R153" s="1">
        <v>297.66000000000003</v>
      </c>
      <c r="S153" s="1"/>
      <c r="T153" s="1"/>
      <c r="U153" s="147"/>
      <c r="V153" s="147"/>
      <c r="W153" s="291"/>
      <c r="X153" s="302"/>
    </row>
    <row r="154" spans="1:24" s="121" customFormat="1" ht="19.5" customHeight="1" x14ac:dyDescent="0.3">
      <c r="A154" s="78"/>
      <c r="B154" s="240"/>
      <c r="C154" s="240"/>
      <c r="D154" s="240"/>
      <c r="E154" s="240"/>
      <c r="F154" s="240"/>
      <c r="G154" s="240"/>
      <c r="H154" s="308" t="s">
        <v>379</v>
      </c>
      <c r="I154" s="314">
        <f>I152+I153</f>
        <v>60.69</v>
      </c>
      <c r="J154" s="314">
        <f>J152+J153</f>
        <v>60.69</v>
      </c>
      <c r="K154" s="314">
        <f t="shared" ref="K154:T154" si="34">K152+K153</f>
        <v>0</v>
      </c>
      <c r="L154" s="314">
        <f t="shared" si="34"/>
        <v>0</v>
      </c>
      <c r="M154" s="314">
        <f t="shared" si="34"/>
        <v>514.48</v>
      </c>
      <c r="N154" s="314">
        <f t="shared" si="34"/>
        <v>514.48</v>
      </c>
      <c r="O154" s="314">
        <f t="shared" si="34"/>
        <v>0</v>
      </c>
      <c r="P154" s="1">
        <f t="shared" si="34"/>
        <v>0</v>
      </c>
      <c r="Q154" s="1">
        <f t="shared" si="34"/>
        <v>543.26</v>
      </c>
      <c r="R154" s="1">
        <f t="shared" si="34"/>
        <v>543.26</v>
      </c>
      <c r="S154" s="1">
        <f t="shared" si="34"/>
        <v>0</v>
      </c>
      <c r="T154" s="1">
        <f t="shared" si="34"/>
        <v>0</v>
      </c>
      <c r="U154" s="147"/>
      <c r="V154" s="147"/>
      <c r="W154" s="291"/>
      <c r="X154" s="302"/>
    </row>
    <row r="155" spans="1:24" s="281" customFormat="1" x14ac:dyDescent="0.3">
      <c r="A155" s="278"/>
      <c r="B155" s="279"/>
      <c r="C155" s="279"/>
      <c r="D155" s="279"/>
      <c r="E155" s="279"/>
      <c r="F155" s="279"/>
      <c r="G155" s="279"/>
      <c r="H155" s="279"/>
      <c r="I155" s="4"/>
      <c r="J155" s="4"/>
      <c r="K155" s="4"/>
      <c r="L155" s="4"/>
      <c r="M155" s="4"/>
      <c r="N155" s="4"/>
      <c r="O155" s="4"/>
      <c r="P155" s="4"/>
      <c r="Q155" s="4"/>
      <c r="R155" s="4"/>
      <c r="S155" s="4"/>
      <c r="T155" s="4"/>
      <c r="U155" s="280"/>
      <c r="V155" s="280"/>
      <c r="W155" s="293"/>
      <c r="X155" s="304"/>
    </row>
    <row r="156" spans="1:24" s="281" customFormat="1" x14ac:dyDescent="0.3">
      <c r="A156" s="78"/>
      <c r="B156" s="240"/>
      <c r="C156" s="240"/>
      <c r="D156" s="240"/>
      <c r="E156" s="240"/>
      <c r="F156" s="240"/>
      <c r="G156" s="240"/>
      <c r="H156" s="308" t="s">
        <v>380</v>
      </c>
      <c r="I156" s="3">
        <f t="shared" ref="I156:T156" si="35">I66+I150+I152</f>
        <v>3850.7189799999992</v>
      </c>
      <c r="J156" s="3">
        <f t="shared" si="35"/>
        <v>3030.9999800000001</v>
      </c>
      <c r="K156" s="3">
        <f t="shared" si="35"/>
        <v>575.37599999999998</v>
      </c>
      <c r="L156" s="3">
        <f t="shared" si="35"/>
        <v>244.34299999999999</v>
      </c>
      <c r="M156" s="3">
        <f t="shared" si="35"/>
        <v>3569.2000000000007</v>
      </c>
      <c r="N156" s="3">
        <f t="shared" si="35"/>
        <v>3031</v>
      </c>
      <c r="O156" s="3">
        <f t="shared" si="35"/>
        <v>538.20000000000005</v>
      </c>
      <c r="P156" s="3">
        <f t="shared" si="35"/>
        <v>0</v>
      </c>
      <c r="Q156" s="3">
        <f t="shared" si="35"/>
        <v>3507.97</v>
      </c>
      <c r="R156" s="3">
        <f t="shared" si="35"/>
        <v>3031</v>
      </c>
      <c r="S156" s="3">
        <f t="shared" si="35"/>
        <v>476.97</v>
      </c>
      <c r="T156" s="3">
        <f t="shared" si="35"/>
        <v>0</v>
      </c>
      <c r="U156" s="147"/>
      <c r="V156" s="147"/>
      <c r="W156" s="293"/>
      <c r="X156" s="304"/>
    </row>
    <row r="157" spans="1:24" s="121" customFormat="1" x14ac:dyDescent="0.3">
      <c r="A157" s="78"/>
      <c r="B157" s="240"/>
      <c r="C157" s="240"/>
      <c r="D157" s="240"/>
      <c r="E157" s="240"/>
      <c r="F157" s="240"/>
      <c r="G157" s="240"/>
      <c r="H157" s="308" t="s">
        <v>381</v>
      </c>
      <c r="I157" s="3">
        <f t="shared" ref="I157:T157" si="36">I72+I117+I144+I153</f>
        <v>1784.6500000000003</v>
      </c>
      <c r="J157" s="3">
        <f t="shared" si="36"/>
        <v>1602.0000000000002</v>
      </c>
      <c r="K157" s="3">
        <f t="shared" si="36"/>
        <v>42.05</v>
      </c>
      <c r="L157" s="3">
        <f t="shared" si="36"/>
        <v>140.60000000000002</v>
      </c>
      <c r="M157" s="3">
        <f t="shared" si="36"/>
        <v>1602</v>
      </c>
      <c r="N157" s="3">
        <f t="shared" si="36"/>
        <v>1602</v>
      </c>
      <c r="O157" s="3">
        <f t="shared" si="36"/>
        <v>0</v>
      </c>
      <c r="P157" s="3">
        <f t="shared" si="36"/>
        <v>0</v>
      </c>
      <c r="Q157" s="3">
        <f t="shared" si="36"/>
        <v>1602</v>
      </c>
      <c r="R157" s="3">
        <f t="shared" si="36"/>
        <v>1602</v>
      </c>
      <c r="S157" s="3">
        <f t="shared" si="36"/>
        <v>0</v>
      </c>
      <c r="T157" s="3">
        <f t="shared" si="36"/>
        <v>0</v>
      </c>
      <c r="U157" s="147"/>
      <c r="V157" s="147"/>
      <c r="W157" s="291"/>
      <c r="X157" s="302"/>
    </row>
    <row r="158" spans="1:24" ht="23.25" hidden="1" customHeight="1" x14ac:dyDescent="0.3">
      <c r="A158" s="78"/>
      <c r="B158" s="240"/>
      <c r="C158" s="240"/>
      <c r="D158" s="240"/>
      <c r="E158" s="240"/>
      <c r="F158" s="240"/>
      <c r="G158" s="240"/>
      <c r="H158" s="308" t="s">
        <v>358</v>
      </c>
      <c r="I158" s="3">
        <f t="shared" ref="I158:T158" si="37">I73+I118+I145+I154</f>
        <v>1443.4900000000002</v>
      </c>
      <c r="J158" s="3">
        <f t="shared" si="37"/>
        <v>1260.8400000000001</v>
      </c>
      <c r="K158" s="3">
        <f t="shared" si="37"/>
        <v>42.05</v>
      </c>
      <c r="L158" s="3">
        <f t="shared" si="37"/>
        <v>140.60000000000002</v>
      </c>
      <c r="M158" s="3">
        <f t="shared" si="37"/>
        <v>1703.21</v>
      </c>
      <c r="N158" s="3">
        <f t="shared" si="37"/>
        <v>1703.21</v>
      </c>
      <c r="O158" s="3">
        <f t="shared" si="37"/>
        <v>0</v>
      </c>
      <c r="P158" s="3">
        <f t="shared" si="37"/>
        <v>0</v>
      </c>
      <c r="Q158" s="3">
        <f t="shared" si="37"/>
        <v>1847.6</v>
      </c>
      <c r="R158" s="3">
        <f t="shared" si="37"/>
        <v>1847.6</v>
      </c>
      <c r="S158" s="3">
        <f t="shared" si="37"/>
        <v>0</v>
      </c>
      <c r="T158" s="3">
        <f t="shared" si="37"/>
        <v>0</v>
      </c>
      <c r="U158" s="147"/>
      <c r="V158" s="147"/>
    </row>
    <row r="159" spans="1:24" x14ac:dyDescent="0.3">
      <c r="A159" s="78"/>
      <c r="B159" s="240"/>
      <c r="C159" s="240"/>
      <c r="D159" s="240"/>
      <c r="E159" s="240"/>
      <c r="F159" s="240"/>
      <c r="G159" s="240"/>
      <c r="H159" s="308" t="s">
        <v>382</v>
      </c>
      <c r="I159" s="3">
        <f>I156+I157</f>
        <v>5635.3689799999993</v>
      </c>
      <c r="J159" s="3">
        <f>J156+J157</f>
        <v>4632.9999800000005</v>
      </c>
      <c r="K159" s="3">
        <f t="shared" ref="K159:T159" si="38">K156+K157</f>
        <v>617.42599999999993</v>
      </c>
      <c r="L159" s="3">
        <f t="shared" si="38"/>
        <v>384.94299999999998</v>
      </c>
      <c r="M159" s="3">
        <f t="shared" si="38"/>
        <v>5171.2000000000007</v>
      </c>
      <c r="N159" s="3">
        <f t="shared" si="38"/>
        <v>4633</v>
      </c>
      <c r="O159" s="3">
        <f t="shared" si="38"/>
        <v>538.20000000000005</v>
      </c>
      <c r="P159" s="3">
        <f t="shared" si="38"/>
        <v>0</v>
      </c>
      <c r="Q159" s="3">
        <f t="shared" si="38"/>
        <v>5109.9699999999993</v>
      </c>
      <c r="R159" s="3">
        <f t="shared" si="38"/>
        <v>4633</v>
      </c>
      <c r="S159" s="3">
        <f t="shared" si="38"/>
        <v>476.97</v>
      </c>
      <c r="T159" s="3">
        <f t="shared" si="38"/>
        <v>0</v>
      </c>
      <c r="U159" s="147"/>
      <c r="V159" s="147"/>
    </row>
  </sheetData>
  <mergeCells count="53">
    <mergeCell ref="A151:V151"/>
    <mergeCell ref="I119:I143"/>
    <mergeCell ref="J119:J143"/>
    <mergeCell ref="D144:H144"/>
    <mergeCell ref="N119:N143"/>
    <mergeCell ref="M119:M143"/>
    <mergeCell ref="Q119:Q143"/>
    <mergeCell ref="R119:R143"/>
    <mergeCell ref="A147:V147"/>
    <mergeCell ref="A150:H150"/>
    <mergeCell ref="B145:H145"/>
    <mergeCell ref="A1:V1"/>
    <mergeCell ref="A2:V2"/>
    <mergeCell ref="A3:V3"/>
    <mergeCell ref="A4:A5"/>
    <mergeCell ref="B4:B5"/>
    <mergeCell ref="C4:C5"/>
    <mergeCell ref="D4:D5"/>
    <mergeCell ref="E4:E5"/>
    <mergeCell ref="F4:G4"/>
    <mergeCell ref="I4:L4"/>
    <mergeCell ref="M4:P4"/>
    <mergeCell ref="Q4:T4"/>
    <mergeCell ref="U4:U5"/>
    <mergeCell ref="V4:V5"/>
    <mergeCell ref="A7:V7"/>
    <mergeCell ref="A43:H43"/>
    <mergeCell ref="A60:H60"/>
    <mergeCell ref="A65:H65"/>
    <mergeCell ref="B61:V61"/>
    <mergeCell ref="A66:H66"/>
    <mergeCell ref="V75:V76"/>
    <mergeCell ref="B83:H83"/>
    <mergeCell ref="A68:V68"/>
    <mergeCell ref="B72:H72"/>
    <mergeCell ref="A74:V74"/>
    <mergeCell ref="A75:A76"/>
    <mergeCell ref="B75:B76"/>
    <mergeCell ref="C75:C76"/>
    <mergeCell ref="D75:D76"/>
    <mergeCell ref="E75:E76"/>
    <mergeCell ref="F75:G75"/>
    <mergeCell ref="H75:H76"/>
    <mergeCell ref="B116:H116"/>
    <mergeCell ref="I75:L75"/>
    <mergeCell ref="M75:P75"/>
    <mergeCell ref="Q75:T75"/>
    <mergeCell ref="U75:U76"/>
    <mergeCell ref="B89:H89"/>
    <mergeCell ref="B93:H93"/>
    <mergeCell ref="B98:H98"/>
    <mergeCell ref="B103:H103"/>
    <mergeCell ref="B109:H109"/>
  </mergeCells>
  <conditionalFormatting sqref="I5:T5 I4 M4 Q4 W76:Y77 X74:Y75 I75 M75 Q75 I69:V71 I62:T65 L161:V1048576 I72:T73 I68:T68 I36:T60 I9:T10 I12:T34 I11:L11 Q11:T11">
    <cfRule type="cellIs" dxfId="30" priority="34" operator="equal">
      <formula>$M$11</formula>
    </cfRule>
  </conditionalFormatting>
  <conditionalFormatting sqref="I79:T83">
    <cfRule type="cellIs" dxfId="29" priority="31" operator="equal">
      <formula>$L$79</formula>
    </cfRule>
    <cfRule type="cellIs" dxfId="28" priority="35" stopIfTrue="1" operator="equal">
      <formula>$J$11</formula>
    </cfRule>
  </conditionalFormatting>
  <conditionalFormatting sqref="I85:T88">
    <cfRule type="cellIs" dxfId="27" priority="36" stopIfTrue="1" operator="equal">
      <formula>$J$15</formula>
    </cfRule>
  </conditionalFormatting>
  <conditionalFormatting sqref="I91:T91 I92:L92 N92:T92 I93:T93">
    <cfRule type="cellIs" dxfId="26" priority="37" stopIfTrue="1" operator="equal">
      <formula>$I$20</formula>
    </cfRule>
  </conditionalFormatting>
  <conditionalFormatting sqref="I95:T97 I100:I102 M100:M102 Q100:Q102 I111:I115 M112:M116 M146:T146 I98:L98 N98:T98">
    <cfRule type="cellIs" dxfId="25" priority="38" stopIfTrue="1" operator="equal">
      <formula>$I$24</formula>
    </cfRule>
  </conditionalFormatting>
  <conditionalFormatting sqref="I100:T103 I111:I115 M112:M116 M146:T146">
    <cfRule type="cellIs" dxfId="24" priority="39" stopIfTrue="1" operator="equal">
      <formula>$I$28</formula>
    </cfRule>
  </conditionalFormatting>
  <conditionalFormatting sqref="I105:T109">
    <cfRule type="cellIs" dxfId="23" priority="26" operator="equal">
      <formula>$L$106</formula>
    </cfRule>
    <cfRule type="cellIs" dxfId="22" priority="40" stopIfTrue="1" operator="equal">
      <formula>$I$32</formula>
    </cfRule>
  </conditionalFormatting>
  <conditionalFormatting sqref="I76:T77">
    <cfRule type="cellIs" dxfId="21" priority="32" operator="equal">
      <formula>$M$11</formula>
    </cfRule>
  </conditionalFormatting>
  <conditionalFormatting sqref="I85:T89">
    <cfRule type="cellIs" dxfId="20" priority="30" operator="equal">
      <formula>$L$86</formula>
    </cfRule>
  </conditionalFormatting>
  <conditionalFormatting sqref="I91:T93">
    <cfRule type="cellIs" dxfId="19" priority="29" operator="equal">
      <formula>$L$92</formula>
    </cfRule>
  </conditionalFormatting>
  <conditionalFormatting sqref="I95:T97 I98:L98 N98:T98">
    <cfRule type="cellIs" dxfId="18" priority="28" operator="equal">
      <formula>$L$95</formula>
    </cfRule>
  </conditionalFormatting>
  <conditionalFormatting sqref="I100:T103">
    <cfRule type="cellIs" dxfId="17" priority="27" operator="equal">
      <formula>$L$100</formula>
    </cfRule>
  </conditionalFormatting>
  <conditionalFormatting sqref="W6:Y6">
    <cfRule type="cellIs" dxfId="16" priority="24" operator="equal">
      <formula>$M$11</formula>
    </cfRule>
  </conditionalFormatting>
  <conditionalFormatting sqref="I6:T6">
    <cfRule type="cellIs" dxfId="15" priority="23" operator="equal">
      <formula>$M$11</formula>
    </cfRule>
  </conditionalFormatting>
  <conditionalFormatting sqref="I35:T42">
    <cfRule type="cellIs" dxfId="14" priority="18" operator="equal">
      <formula>$M$11</formula>
    </cfRule>
  </conditionalFormatting>
  <conditionalFormatting sqref="M116:T116 I111:T115 M144:T144 M146:T146 O152:P152 S152:T152 O153:T153">
    <cfRule type="cellIs" dxfId="13" priority="41" operator="equal">
      <formula>$L$111</formula>
    </cfRule>
    <cfRule type="cellIs" dxfId="12" priority="42" stopIfTrue="1" operator="equal">
      <formula>$I$36</formula>
    </cfRule>
  </conditionalFormatting>
  <conditionalFormatting sqref="X151:Y152">
    <cfRule type="cellIs" dxfId="11" priority="14" operator="equal">
      <formula>$M$11</formula>
    </cfRule>
  </conditionalFormatting>
  <conditionalFormatting sqref="M144">
    <cfRule type="cellIs" dxfId="10" priority="10" stopIfTrue="1" operator="equal">
      <formula>$I$24</formula>
    </cfRule>
  </conditionalFormatting>
  <conditionalFormatting sqref="M144">
    <cfRule type="cellIs" dxfId="9" priority="11" stopIfTrue="1" operator="equal">
      <formula>$I$28</formula>
    </cfRule>
  </conditionalFormatting>
  <conditionalFormatting sqref="N144:T144">
    <cfRule type="cellIs" dxfId="8" priority="8" stopIfTrue="1" operator="equal">
      <formula>$I$24</formula>
    </cfRule>
  </conditionalFormatting>
  <conditionalFormatting sqref="N144:T144">
    <cfRule type="cellIs" dxfId="7" priority="9" stopIfTrue="1" operator="equal">
      <formula>$I$28</formula>
    </cfRule>
  </conditionalFormatting>
  <conditionalFormatting sqref="I66:T66">
    <cfRule type="cellIs" dxfId="6" priority="7" operator="equal">
      <formula>$M$14</formula>
    </cfRule>
  </conditionalFormatting>
  <conditionalFormatting sqref="I148:T150">
    <cfRule type="cellIs" dxfId="5" priority="6" operator="equal">
      <formula>$M$14</formula>
    </cfRule>
  </conditionalFormatting>
  <conditionalFormatting sqref="I145:T145">
    <cfRule type="cellIs" dxfId="4" priority="5" operator="equal">
      <formula>$M$11</formula>
    </cfRule>
  </conditionalFormatting>
  <conditionalFormatting sqref="M152:N152">
    <cfRule type="cellIs" dxfId="3" priority="4" operator="equal">
      <formula>$M$14</formula>
    </cfRule>
  </conditionalFormatting>
  <conditionalFormatting sqref="Q152:R152">
    <cfRule type="cellIs" dxfId="2" priority="3" operator="equal">
      <formula>$M$14</formula>
    </cfRule>
  </conditionalFormatting>
  <conditionalFormatting sqref="M98">
    <cfRule type="cellIs" dxfId="1" priority="2" stopIfTrue="1" operator="equal">
      <formula>$I$28</formula>
    </cfRule>
  </conditionalFormatting>
  <conditionalFormatting sqref="M98">
    <cfRule type="cellIs" dxfId="0" priority="1" operator="equal">
      <formula>$L$100</formula>
    </cfRule>
  </conditionalFormatting>
  <pageMargins left="0.11811023622047245" right="0.11811023622047245" top="0.74803149606299213" bottom="0.15748031496062992" header="0.31496062992125984" footer="0.31496062992125984"/>
  <pageSetup paperSize="8" scale="45" fitToHeight="0" orientation="landscape" r:id="rId1"/>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Paveldotvarka 2021-2023</vt:lpstr>
      <vt:lpstr>'Paveldotvarka 2021-2023'!Print_Titles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Sarunas NB</dc:creator>
  <cp:lastModifiedBy>Romanas Senapėdis</cp:lastModifiedBy>
  <cp:lastPrinted>2021-08-27T07:24:29Z</cp:lastPrinted>
  <dcterms:created xsi:type="dcterms:W3CDTF">2021-02-12T14:25:23Z</dcterms:created>
  <dcterms:modified xsi:type="dcterms:W3CDTF">2021-08-31T13:38:26Z</dcterms:modified>
</cp:coreProperties>
</file>